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NRCS\FOTG\Section I\Pending\D_Erosion Prediction\4_Ephemeral_Gully\"/>
    </mc:Choice>
  </mc:AlternateContent>
  <xr:revisionPtr revIDLastSave="0" documentId="13_ncr:1_{992501ED-D0F4-42D8-979D-C89AF591AB04}" xr6:coauthVersionLast="45" xr6:coauthVersionMax="45" xr10:uidLastSave="{00000000-0000-0000-0000-000000000000}"/>
  <bookViews>
    <workbookView xWindow="22932" yWindow="-108" windowWidth="23256" windowHeight="12576" xr2:uid="{00000000-000D-0000-FFFF-FFFF00000000}"/>
  </bookViews>
  <sheets>
    <sheet name="Instructions" sheetId="16" r:id="rId1"/>
    <sheet name="Field Worksheet" sheetId="14" r:id="rId2"/>
    <sheet name="Cover Crop Table" sheetId="5" r:id="rId3"/>
    <sheet name="Clean Tillage Table" sheetId="9" r:id="rId4"/>
    <sheet name="Conventional Tillage Table" sheetId="10" r:id="rId5"/>
    <sheet name="Mulch Tillage Table" sheetId="11" r:id="rId6"/>
    <sheet name="No-Till Table" sheetId="12" r:id="rId7"/>
    <sheet name="Assumptions" sheetId="6" r:id="rId8"/>
    <sheet name="Bed Slope Tables" sheetId="4" state="hidden" r:id="rId9"/>
    <sheet name="County" sheetId="13" state="hidden" r:id="rId10"/>
  </sheets>
  <definedNames>
    <definedName name="CCErodibleBedS">'Bed Slope Tables'!$J$8:$P$47</definedName>
    <definedName name="CCErosionResBedS">'Bed Slope Tables'!$A$8:$G$47</definedName>
    <definedName name="CleanErodibleBedS">'Bed Slope Tables'!$Z$8:$AF$47</definedName>
    <definedName name="CleanErosResBedS">'Bed Slope Tables'!$R$8:$X$47</definedName>
    <definedName name="Coeff0_List">County!$N$2:$N$7</definedName>
    <definedName name="Coeff1_List">County!$O$2:$O$7</definedName>
    <definedName name="Coeff2_List">County!$P$2:$P$7</definedName>
    <definedName name="ConvErodibleBedS">'Bed Slope Tables'!$AP$8:$AV$47</definedName>
    <definedName name="ConvErosResBedS">'Bed Slope Tables'!$AH$8:$AN$47</definedName>
    <definedName name="IaP_1" localSheetId="1">'Field Worksheet'!#REF!</definedName>
    <definedName name="IaP_1">'Cover Crop Table'!$G$2</definedName>
    <definedName name="IaP_List">County!$M$2:$M$7</definedName>
    <definedName name="log_Tc" localSheetId="1">'Field Worksheet'!#REF!</definedName>
    <definedName name="log_Tc">'Cover Crop Table'!$B$8</definedName>
    <definedName name="MulchErodibleBedS">'Bed Slope Tables'!$BF$8:$BL$47</definedName>
    <definedName name="MulchErosResBedS">'Bed Slope Tables'!$AX$8:$BD$47</definedName>
    <definedName name="my_Iap" localSheetId="1">'Field Worksheet'!#REF!</definedName>
    <definedName name="my_Iap">'Cover Crop Table'!$F$5</definedName>
    <definedName name="NoTillErodibleBedS">'Bed Slope Tables'!$BV$8:$CB$47</definedName>
    <definedName name="NoTillErosResBedS">'Bed Slope Tables'!$BN$8:$BT$47</definedName>
    <definedName name="_xlnm.Print_Area" localSheetId="3">'Clean Tillage Table'!$A$1:$AB$41</definedName>
    <definedName name="_xlnm.Print_Area" localSheetId="4">'Conventional Tillage Table'!$A$1:$AB$41</definedName>
    <definedName name="_xlnm.Print_Area" localSheetId="2">'Cover Crop Table'!$A$1:$AB$42</definedName>
    <definedName name="_xlnm.Print_Area" localSheetId="5">'Mulch Tillage Table'!$A$1:$AB$41</definedName>
    <definedName name="_xlnm.Print_Area" localSheetId="6">'No-Till Table'!$A$1:$AB$41</definedName>
    <definedName name="Row_1" localSheetId="1">'Field Worksheet'!#REF!</definedName>
    <definedName name="Row_1">'Cover Crop Table'!$E$7</definedName>
    <definedName name="Row_2" localSheetId="1">'Field Worksheet'!#REF!</definedName>
    <definedName name="Row_2">'Cover Crop Table'!$J$7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4" l="1"/>
  <c r="S15" i="14" l="1"/>
  <c r="P3" i="12" l="1"/>
  <c r="P3" i="11"/>
  <c r="P3" i="10"/>
  <c r="P3" i="9"/>
  <c r="P3" i="5" l="1"/>
  <c r="S31" i="14" l="1"/>
  <c r="B32" i="14"/>
  <c r="B29" i="14" l="1"/>
  <c r="B28" i="14"/>
  <c r="B27" i="14"/>
  <c r="B26" i="14"/>
  <c r="D16" i="14" l="1"/>
  <c r="I6" i="14"/>
  <c r="B25" i="14"/>
  <c r="B12" i="14"/>
  <c r="D26" i="14" s="1"/>
  <c r="S7" i="14" l="1"/>
  <c r="E27" i="14" s="1"/>
  <c r="F27" i="14" s="1"/>
  <c r="L27" i="14" s="1"/>
  <c r="D27" i="14"/>
  <c r="D28" i="14"/>
  <c r="D25" i="14"/>
  <c r="D29" i="14"/>
  <c r="F3" i="12"/>
  <c r="Q3" i="12" s="1"/>
  <c r="F3" i="11"/>
  <c r="Q3" i="11" s="1"/>
  <c r="F3" i="10"/>
  <c r="Q3" i="10" s="1"/>
  <c r="F3" i="9"/>
  <c r="Q3" i="9" s="1"/>
  <c r="E26" i="14" l="1"/>
  <c r="C25" i="14"/>
  <c r="E29" i="14"/>
  <c r="F29" i="14" s="1"/>
  <c r="E28" i="14"/>
  <c r="F28" i="14" s="1"/>
  <c r="L28" i="14" s="1"/>
  <c r="O28" i="14" s="1"/>
  <c r="C26" i="14"/>
  <c r="C29" i="14"/>
  <c r="E25" i="14"/>
  <c r="F25" i="14" s="1"/>
  <c r="C28" i="14"/>
  <c r="C27" i="14"/>
  <c r="I27" i="14"/>
  <c r="J27" i="14"/>
  <c r="O27" i="14"/>
  <c r="N27" i="14"/>
  <c r="P27" i="14"/>
  <c r="M27" i="14"/>
  <c r="H27" i="14"/>
  <c r="F26" i="14"/>
  <c r="L26" i="14" s="1"/>
  <c r="G27" i="14"/>
  <c r="P6" i="12"/>
  <c r="F5" i="12"/>
  <c r="F5" i="11"/>
  <c r="P6" i="11"/>
  <c r="F5" i="10"/>
  <c r="P6" i="10"/>
  <c r="P6" i="9"/>
  <c r="F5" i="9"/>
  <c r="F3" i="5"/>
  <c r="Q3" i="5" s="1"/>
  <c r="C31" i="12"/>
  <c r="C27" i="12"/>
  <c r="D27" i="12" s="1"/>
  <c r="C23" i="12"/>
  <c r="D23" i="12" s="1"/>
  <c r="C19" i="12"/>
  <c r="D19" i="12" s="1"/>
  <c r="C15" i="12"/>
  <c r="D15" i="12" s="1"/>
  <c r="C11" i="12"/>
  <c r="D11" i="12" s="1"/>
  <c r="C31" i="11"/>
  <c r="C27" i="11"/>
  <c r="D27" i="11" s="1"/>
  <c r="C23" i="11"/>
  <c r="D23" i="11" s="1"/>
  <c r="C19" i="11"/>
  <c r="D19" i="11" s="1"/>
  <c r="C15" i="11"/>
  <c r="D15" i="11" s="1"/>
  <c r="C11" i="11"/>
  <c r="D11" i="11" s="1"/>
  <c r="C31" i="10"/>
  <c r="C27" i="10"/>
  <c r="C23" i="10"/>
  <c r="C19" i="10"/>
  <c r="C22" i="10" s="1"/>
  <c r="D22" i="10" s="1"/>
  <c r="C15" i="10"/>
  <c r="C11" i="10"/>
  <c r="M28" i="14" l="1"/>
  <c r="N28" i="14"/>
  <c r="H28" i="14"/>
  <c r="I28" i="14"/>
  <c r="P28" i="14"/>
  <c r="J28" i="14"/>
  <c r="G28" i="14"/>
  <c r="C33" i="12"/>
  <c r="D33" i="12" s="1"/>
  <c r="D31" i="12"/>
  <c r="C33" i="11"/>
  <c r="D33" i="11" s="1"/>
  <c r="D31" i="11"/>
  <c r="C33" i="10"/>
  <c r="D33" i="10" s="1"/>
  <c r="D31" i="10"/>
  <c r="C34" i="10"/>
  <c r="D34" i="10" s="1"/>
  <c r="C29" i="10"/>
  <c r="D29" i="10" s="1"/>
  <c r="D27" i="10"/>
  <c r="C30" i="10"/>
  <c r="D30" i="10" s="1"/>
  <c r="C25" i="10"/>
  <c r="D25" i="10" s="1"/>
  <c r="D23" i="10"/>
  <c r="C26" i="10"/>
  <c r="D26" i="10" s="1"/>
  <c r="C21" i="10"/>
  <c r="D21" i="10" s="1"/>
  <c r="D19" i="10"/>
  <c r="C17" i="10"/>
  <c r="D17" i="10" s="1"/>
  <c r="D15" i="10"/>
  <c r="C18" i="10"/>
  <c r="D18" i="10" s="1"/>
  <c r="C14" i="10"/>
  <c r="D14" i="10" s="1"/>
  <c r="D11" i="10"/>
  <c r="K27" i="14"/>
  <c r="J26" i="14"/>
  <c r="I26" i="14"/>
  <c r="H26" i="14"/>
  <c r="O26" i="14"/>
  <c r="M26" i="14"/>
  <c r="P26" i="14"/>
  <c r="N26" i="14"/>
  <c r="Q27" i="14"/>
  <c r="G26" i="14"/>
  <c r="L25" i="14"/>
  <c r="J25" i="14"/>
  <c r="I25" i="14"/>
  <c r="G25" i="14"/>
  <c r="H25" i="14"/>
  <c r="L29" i="14"/>
  <c r="H29" i="14"/>
  <c r="G29" i="14"/>
  <c r="I29" i="14"/>
  <c r="J29" i="14"/>
  <c r="F5" i="5"/>
  <c r="P6" i="5"/>
  <c r="C16" i="10"/>
  <c r="D16" i="10" s="1"/>
  <c r="C20" i="10"/>
  <c r="D20" i="10" s="1"/>
  <c r="C24" i="10"/>
  <c r="D24" i="10" s="1"/>
  <c r="C28" i="10"/>
  <c r="D28" i="10" s="1"/>
  <c r="C32" i="10"/>
  <c r="D32" i="10" s="1"/>
  <c r="C30" i="12"/>
  <c r="D30" i="12" s="1"/>
  <c r="C28" i="12"/>
  <c r="D28" i="12" s="1"/>
  <c r="C14" i="12"/>
  <c r="D14" i="12" s="1"/>
  <c r="C12" i="12"/>
  <c r="D12" i="12" s="1"/>
  <c r="C18" i="12"/>
  <c r="D18" i="12" s="1"/>
  <c r="C16" i="12"/>
  <c r="D16" i="12" s="1"/>
  <c r="C22" i="12"/>
  <c r="D22" i="12" s="1"/>
  <c r="C20" i="12"/>
  <c r="D20" i="12" s="1"/>
  <c r="C26" i="12"/>
  <c r="D26" i="12" s="1"/>
  <c r="C24" i="12"/>
  <c r="D24" i="12" s="1"/>
  <c r="C34" i="12"/>
  <c r="D34" i="12" s="1"/>
  <c r="C32" i="12"/>
  <c r="D32" i="12" s="1"/>
  <c r="C13" i="12"/>
  <c r="D13" i="12" s="1"/>
  <c r="C17" i="12"/>
  <c r="D17" i="12" s="1"/>
  <c r="C21" i="12"/>
  <c r="D21" i="12" s="1"/>
  <c r="C25" i="12"/>
  <c r="D25" i="12" s="1"/>
  <c r="C29" i="12"/>
  <c r="D29" i="12" s="1"/>
  <c r="C30" i="11"/>
  <c r="D30" i="11" s="1"/>
  <c r="C28" i="11"/>
  <c r="D28" i="11" s="1"/>
  <c r="C14" i="11"/>
  <c r="D14" i="11" s="1"/>
  <c r="C12" i="11"/>
  <c r="D12" i="11" s="1"/>
  <c r="C18" i="11"/>
  <c r="D18" i="11" s="1"/>
  <c r="C16" i="11"/>
  <c r="D16" i="11" s="1"/>
  <c r="C22" i="11"/>
  <c r="D22" i="11" s="1"/>
  <c r="C20" i="11"/>
  <c r="D20" i="11" s="1"/>
  <c r="C26" i="11"/>
  <c r="D26" i="11" s="1"/>
  <c r="C24" i="11"/>
  <c r="D24" i="11" s="1"/>
  <c r="C34" i="11"/>
  <c r="D34" i="11" s="1"/>
  <c r="C32" i="11"/>
  <c r="D32" i="11" s="1"/>
  <c r="C13" i="11"/>
  <c r="D13" i="11" s="1"/>
  <c r="C17" i="11"/>
  <c r="D17" i="11" s="1"/>
  <c r="C21" i="11"/>
  <c r="D21" i="11" s="1"/>
  <c r="C25" i="11"/>
  <c r="D25" i="11" s="1"/>
  <c r="C29" i="11"/>
  <c r="D29" i="11" s="1"/>
  <c r="C13" i="10"/>
  <c r="D13" i="10" s="1"/>
  <c r="C12" i="10"/>
  <c r="D12" i="10" s="1"/>
  <c r="C31" i="9"/>
  <c r="C27" i="9"/>
  <c r="C23" i="9"/>
  <c r="C19" i="9"/>
  <c r="C15" i="9"/>
  <c r="C11" i="9"/>
  <c r="Q28" i="14" l="1"/>
  <c r="K28" i="14"/>
  <c r="C33" i="9"/>
  <c r="D33" i="9" s="1"/>
  <c r="D31" i="9"/>
  <c r="C29" i="9"/>
  <c r="D29" i="9" s="1"/>
  <c r="D27" i="9"/>
  <c r="C25" i="9"/>
  <c r="D25" i="9" s="1"/>
  <c r="D23" i="9"/>
  <c r="C21" i="9"/>
  <c r="D21" i="9" s="1"/>
  <c r="D19" i="9"/>
  <c r="C17" i="9"/>
  <c r="D17" i="9" s="1"/>
  <c r="D15" i="9"/>
  <c r="C13" i="9"/>
  <c r="D13" i="9" s="1"/>
  <c r="D11" i="9"/>
  <c r="Q26" i="14"/>
  <c r="K26" i="14"/>
  <c r="R27" i="14"/>
  <c r="S27" i="14" s="1"/>
  <c r="K29" i="14"/>
  <c r="P29" i="14"/>
  <c r="O29" i="14"/>
  <c r="M29" i="14"/>
  <c r="N29" i="14"/>
  <c r="K25" i="14"/>
  <c r="N25" i="14"/>
  <c r="M25" i="14"/>
  <c r="O25" i="14"/>
  <c r="P25" i="14"/>
  <c r="E7" i="11"/>
  <c r="E7" i="12"/>
  <c r="E7" i="10"/>
  <c r="E7" i="9"/>
  <c r="C26" i="9"/>
  <c r="D26" i="9" s="1"/>
  <c r="C34" i="9"/>
  <c r="D34" i="9" s="1"/>
  <c r="C22" i="9"/>
  <c r="D22" i="9" s="1"/>
  <c r="C30" i="9"/>
  <c r="D30" i="9" s="1"/>
  <c r="C18" i="9"/>
  <c r="D18" i="9" s="1"/>
  <c r="C14" i="9"/>
  <c r="D14" i="9" s="1"/>
  <c r="C12" i="9"/>
  <c r="D12" i="9" s="1"/>
  <c r="C16" i="9"/>
  <c r="D16" i="9" s="1"/>
  <c r="C20" i="9"/>
  <c r="D20" i="9" s="1"/>
  <c r="C24" i="9"/>
  <c r="D24" i="9" s="1"/>
  <c r="C28" i="9"/>
  <c r="D28" i="9" s="1"/>
  <c r="C32" i="9"/>
  <c r="D32" i="9" s="1"/>
  <c r="C31" i="5"/>
  <c r="D31" i="5" s="1"/>
  <c r="C27" i="5"/>
  <c r="D27" i="5" s="1"/>
  <c r="C23" i="5"/>
  <c r="D23" i="5" s="1"/>
  <c r="C19" i="5"/>
  <c r="C15" i="5"/>
  <c r="C11" i="5"/>
  <c r="D11" i="5" s="1"/>
  <c r="R28" i="14" l="1"/>
  <c r="S28" i="14" s="1"/>
  <c r="C21" i="5"/>
  <c r="D21" i="5" s="1"/>
  <c r="D19" i="5"/>
  <c r="C16" i="5"/>
  <c r="D16" i="5" s="1"/>
  <c r="D15" i="5"/>
  <c r="R26" i="14"/>
  <c r="S26" i="14" s="1"/>
  <c r="Z27" i="14"/>
  <c r="T27" i="14"/>
  <c r="W27" i="14"/>
  <c r="AC27" i="14"/>
  <c r="AF27" i="14"/>
  <c r="AI27" i="14"/>
  <c r="Q25" i="14"/>
  <c r="R25" i="14" s="1"/>
  <c r="S25" i="14" s="1"/>
  <c r="Q29" i="14"/>
  <c r="R29" i="14" s="1"/>
  <c r="S29" i="14" s="1"/>
  <c r="C34" i="5"/>
  <c r="D34" i="5" s="1"/>
  <c r="C13" i="5"/>
  <c r="D13" i="5" s="1"/>
  <c r="C14" i="5"/>
  <c r="D14" i="5" s="1"/>
  <c r="C26" i="5"/>
  <c r="D26" i="5" s="1"/>
  <c r="C12" i="5"/>
  <c r="D12" i="5" s="1"/>
  <c r="C30" i="5"/>
  <c r="D30" i="5" s="1"/>
  <c r="C22" i="5"/>
  <c r="D22" i="5" s="1"/>
  <c r="C20" i="5"/>
  <c r="D20" i="5" s="1"/>
  <c r="C17" i="5"/>
  <c r="D17" i="5" s="1"/>
  <c r="C18" i="5"/>
  <c r="D18" i="5" s="1"/>
  <c r="C32" i="5"/>
  <c r="D32" i="5" s="1"/>
  <c r="C33" i="5"/>
  <c r="D33" i="5" s="1"/>
  <c r="C28" i="5"/>
  <c r="D28" i="5" s="1"/>
  <c r="C29" i="5"/>
  <c r="D29" i="5" s="1"/>
  <c r="C24" i="5"/>
  <c r="D24" i="5" s="1"/>
  <c r="C25" i="5"/>
  <c r="D25" i="5" s="1"/>
  <c r="AO3" i="12"/>
  <c r="AO3" i="11"/>
  <c r="AO3" i="10"/>
  <c r="AO3" i="9"/>
  <c r="B33" i="14" l="1"/>
  <c r="S39" i="14" s="1"/>
  <c r="W28" i="14"/>
  <c r="B21" i="14" s="1"/>
  <c r="T28" i="14"/>
  <c r="AF28" i="14"/>
  <c r="Z28" i="14"/>
  <c r="AC28" i="14"/>
  <c r="AI28" i="14"/>
  <c r="AC26" i="14"/>
  <c r="T26" i="14"/>
  <c r="AF26" i="14"/>
  <c r="AI26" i="14"/>
  <c r="Z26" i="14"/>
  <c r="W26" i="14"/>
  <c r="AI25" i="14"/>
  <c r="Z25" i="14"/>
  <c r="AC25" i="14"/>
  <c r="W25" i="14"/>
  <c r="T25" i="14"/>
  <c r="AF25" i="14"/>
  <c r="AI29" i="14"/>
  <c r="AC29" i="14"/>
  <c r="W29" i="14"/>
  <c r="AF29" i="14"/>
  <c r="T29" i="14"/>
  <c r="Z29" i="14"/>
  <c r="E7" i="5"/>
  <c r="S41" i="14" l="1"/>
  <c r="Z41" i="14" s="1"/>
  <c r="S38" i="14"/>
  <c r="S42" i="14"/>
  <c r="T42" i="14" s="1"/>
  <c r="S40" i="14"/>
  <c r="AI40" i="14" s="1"/>
  <c r="W39" i="14"/>
  <c r="AC39" i="14"/>
  <c r="AI39" i="14"/>
  <c r="T39" i="14"/>
  <c r="Z39" i="14"/>
  <c r="AF39" i="14"/>
  <c r="J7" i="10"/>
  <c r="J7" i="11"/>
  <c r="J7" i="12"/>
  <c r="J7" i="9"/>
  <c r="F34" i="5"/>
  <c r="F13" i="5"/>
  <c r="E17" i="5"/>
  <c r="H16" i="5"/>
  <c r="F21" i="5"/>
  <c r="H12" i="5"/>
  <c r="G27" i="5"/>
  <c r="E18" i="5"/>
  <c r="G16" i="5"/>
  <c r="E11" i="5"/>
  <c r="H31" i="5"/>
  <c r="H32" i="5"/>
  <c r="E24" i="5"/>
  <c r="G22" i="5"/>
  <c r="F18" i="5"/>
  <c r="H24" i="5"/>
  <c r="H21" i="5"/>
  <c r="F29" i="5"/>
  <c r="G30" i="5"/>
  <c r="F26" i="5"/>
  <c r="G19" i="5"/>
  <c r="F32" i="5"/>
  <c r="E16" i="5"/>
  <c r="E32" i="5"/>
  <c r="F24" i="5"/>
  <c r="G21" i="5"/>
  <c r="G29" i="5"/>
  <c r="F27" i="5"/>
  <c r="F12" i="5"/>
  <c r="F20" i="5"/>
  <c r="F28" i="5"/>
  <c r="E33" i="5"/>
  <c r="H22" i="5"/>
  <c r="H17" i="5"/>
  <c r="H25" i="5"/>
  <c r="H33" i="5"/>
  <c r="G11" i="5"/>
  <c r="G15" i="5"/>
  <c r="E27" i="5"/>
  <c r="H14" i="5"/>
  <c r="H30" i="5"/>
  <c r="E15" i="5"/>
  <c r="E23" i="5"/>
  <c r="E31" i="5"/>
  <c r="H15" i="5"/>
  <c r="G12" i="5"/>
  <c r="G20" i="5"/>
  <c r="G28" i="5"/>
  <c r="H34" i="12"/>
  <c r="H33" i="12"/>
  <c r="E32" i="12"/>
  <c r="E31" i="12"/>
  <c r="F30" i="12"/>
  <c r="F29" i="12"/>
  <c r="F28" i="12"/>
  <c r="F27" i="12"/>
  <c r="G26" i="12"/>
  <c r="G25" i="12"/>
  <c r="G24" i="12"/>
  <c r="G23" i="12"/>
  <c r="H22" i="12"/>
  <c r="H21" i="12"/>
  <c r="H20" i="12"/>
  <c r="H19" i="12"/>
  <c r="E18" i="12"/>
  <c r="E17" i="12"/>
  <c r="E16" i="12"/>
  <c r="E15" i="12"/>
  <c r="F14" i="12"/>
  <c r="F13" i="12"/>
  <c r="F12" i="12"/>
  <c r="F11" i="12"/>
  <c r="G34" i="11"/>
  <c r="G33" i="11"/>
  <c r="H32" i="11"/>
  <c r="H31" i="11"/>
  <c r="E30" i="11"/>
  <c r="E29" i="11"/>
  <c r="E28" i="11"/>
  <c r="E27" i="11"/>
  <c r="F26" i="11"/>
  <c r="F25" i="11"/>
  <c r="F24" i="11"/>
  <c r="F23" i="11"/>
  <c r="G22" i="11"/>
  <c r="G21" i="11"/>
  <c r="G20" i="11"/>
  <c r="G19" i="11"/>
  <c r="H18" i="11"/>
  <c r="H17" i="11"/>
  <c r="H16" i="11"/>
  <c r="H15" i="11"/>
  <c r="E14" i="11"/>
  <c r="E13" i="11"/>
  <c r="E12" i="11"/>
  <c r="E11" i="11"/>
  <c r="F34" i="10"/>
  <c r="G33" i="10"/>
  <c r="G32" i="10"/>
  <c r="H31" i="10"/>
  <c r="F30" i="10"/>
  <c r="G29" i="10"/>
  <c r="G28" i="10"/>
  <c r="H27" i="10"/>
  <c r="F26" i="10"/>
  <c r="G25" i="10"/>
  <c r="G24" i="10"/>
  <c r="H23" i="10"/>
  <c r="F22" i="10"/>
  <c r="G21" i="10"/>
  <c r="G20" i="10"/>
  <c r="H19" i="10"/>
  <c r="F18" i="10"/>
  <c r="G17" i="10"/>
  <c r="G16" i="10"/>
  <c r="H15" i="10"/>
  <c r="F14" i="10"/>
  <c r="F13" i="10"/>
  <c r="F12" i="10"/>
  <c r="F11" i="10"/>
  <c r="F34" i="12"/>
  <c r="H32" i="12"/>
  <c r="F31" i="12"/>
  <c r="G29" i="12"/>
  <c r="G27" i="12"/>
  <c r="E26" i="12"/>
  <c r="H25" i="12"/>
  <c r="E24" i="12"/>
  <c r="H23" i="12"/>
  <c r="F22" i="12"/>
  <c r="F20" i="12"/>
  <c r="H18" i="12"/>
  <c r="F17" i="12"/>
  <c r="H16" i="12"/>
  <c r="F15" i="12"/>
  <c r="G13" i="12"/>
  <c r="G11" i="12"/>
  <c r="E34" i="11"/>
  <c r="H33" i="11"/>
  <c r="F32" i="11"/>
  <c r="H30" i="11"/>
  <c r="F29" i="11"/>
  <c r="H28" i="11"/>
  <c r="F27" i="11"/>
  <c r="G25" i="11"/>
  <c r="G23" i="11"/>
  <c r="E22" i="11"/>
  <c r="H21" i="11"/>
  <c r="E20" i="11"/>
  <c r="H19" i="11"/>
  <c r="F18" i="11"/>
  <c r="F16" i="11"/>
  <c r="H14" i="11"/>
  <c r="F13" i="11"/>
  <c r="H12" i="11"/>
  <c r="F11" i="11"/>
  <c r="H33" i="10"/>
  <c r="E32" i="10"/>
  <c r="H29" i="10"/>
  <c r="E28" i="10"/>
  <c r="H25" i="10"/>
  <c r="E24" i="10"/>
  <c r="H21" i="10"/>
  <c r="E20" i="10"/>
  <c r="H17" i="10"/>
  <c r="E16" i="10"/>
  <c r="G13" i="10"/>
  <c r="G11" i="10"/>
  <c r="E34" i="12"/>
  <c r="G33" i="12"/>
  <c r="G32" i="12"/>
  <c r="H30" i="12"/>
  <c r="E29" i="12"/>
  <c r="H28" i="12"/>
  <c r="E27" i="12"/>
  <c r="F25" i="12"/>
  <c r="F23" i="12"/>
  <c r="E22" i="12"/>
  <c r="G21" i="12"/>
  <c r="E20" i="12"/>
  <c r="G19" i="12"/>
  <c r="G18" i="12"/>
  <c r="G16" i="12"/>
  <c r="H14" i="12"/>
  <c r="E13" i="12"/>
  <c r="H12" i="12"/>
  <c r="E11" i="12"/>
  <c r="F33" i="11"/>
  <c r="E32" i="11"/>
  <c r="G31" i="11"/>
  <c r="G30" i="11"/>
  <c r="G28" i="11"/>
  <c r="H26" i="11"/>
  <c r="E25" i="11"/>
  <c r="H24" i="11"/>
  <c r="E23" i="11"/>
  <c r="F21" i="11"/>
  <c r="F19" i="11"/>
  <c r="E18" i="11"/>
  <c r="G17" i="11"/>
  <c r="E16" i="11"/>
  <c r="G15" i="11"/>
  <c r="G14" i="11"/>
  <c r="G12" i="11"/>
  <c r="H34" i="10"/>
  <c r="F33" i="10"/>
  <c r="G31" i="10"/>
  <c r="H30" i="10"/>
  <c r="F29" i="10"/>
  <c r="G27" i="10"/>
  <c r="H26" i="10"/>
  <c r="F25" i="10"/>
  <c r="G23" i="10"/>
  <c r="H22" i="10"/>
  <c r="F21" i="10"/>
  <c r="G19" i="10"/>
  <c r="H18" i="10"/>
  <c r="F17" i="10"/>
  <c r="G15" i="10"/>
  <c r="H14" i="10"/>
  <c r="E13" i="10"/>
  <c r="H12" i="10"/>
  <c r="E11" i="10"/>
  <c r="F33" i="12"/>
  <c r="F32" i="12"/>
  <c r="H31" i="12"/>
  <c r="G30" i="12"/>
  <c r="G28" i="12"/>
  <c r="H26" i="12"/>
  <c r="E25" i="12"/>
  <c r="H24" i="12"/>
  <c r="E23" i="12"/>
  <c r="F21" i="12"/>
  <c r="F19" i="12"/>
  <c r="F18" i="12"/>
  <c r="H17" i="12"/>
  <c r="F16" i="12"/>
  <c r="H15" i="12"/>
  <c r="G14" i="12"/>
  <c r="G12" i="12"/>
  <c r="H34" i="11"/>
  <c r="E33" i="11"/>
  <c r="F31" i="11"/>
  <c r="F30" i="11"/>
  <c r="H29" i="11"/>
  <c r="F28" i="11"/>
  <c r="H27" i="11"/>
  <c r="G26" i="11"/>
  <c r="G24" i="11"/>
  <c r="H22" i="11"/>
  <c r="E21" i="11"/>
  <c r="H20" i="11"/>
  <c r="E19" i="11"/>
  <c r="F17" i="11"/>
  <c r="F15" i="11"/>
  <c r="F14" i="11"/>
  <c r="H13" i="11"/>
  <c r="F12" i="11"/>
  <c r="H11" i="11"/>
  <c r="G34" i="10"/>
  <c r="E33" i="10"/>
  <c r="H32" i="10"/>
  <c r="F31" i="10"/>
  <c r="G30" i="10"/>
  <c r="E29" i="10"/>
  <c r="H28" i="10"/>
  <c r="F27" i="10"/>
  <c r="G26" i="10"/>
  <c r="E25" i="10"/>
  <c r="H24" i="10"/>
  <c r="F23" i="10"/>
  <c r="G22" i="10"/>
  <c r="E21" i="10"/>
  <c r="H20" i="10"/>
  <c r="F19" i="10"/>
  <c r="G18" i="10"/>
  <c r="E17" i="10"/>
  <c r="H16" i="10"/>
  <c r="F15" i="10"/>
  <c r="G14" i="10"/>
  <c r="G12" i="10"/>
  <c r="F24" i="12"/>
  <c r="E19" i="12"/>
  <c r="G17" i="12"/>
  <c r="G32" i="11"/>
  <c r="E26" i="11"/>
  <c r="H23" i="11"/>
  <c r="G16" i="11"/>
  <c r="E34" i="10"/>
  <c r="F32" i="10"/>
  <c r="E19" i="10"/>
  <c r="E18" i="10"/>
  <c r="F16" i="10"/>
  <c r="H13" i="10"/>
  <c r="G34" i="12"/>
  <c r="E28" i="12"/>
  <c r="F26" i="12"/>
  <c r="E21" i="12"/>
  <c r="E12" i="12"/>
  <c r="F34" i="11"/>
  <c r="G27" i="11"/>
  <c r="H25" i="11"/>
  <c r="G18" i="11"/>
  <c r="G11" i="11"/>
  <c r="E23" i="10"/>
  <c r="E22" i="10"/>
  <c r="F20" i="10"/>
  <c r="E30" i="12"/>
  <c r="H27" i="12"/>
  <c r="G20" i="12"/>
  <c r="E14" i="12"/>
  <c r="H11" i="12"/>
  <c r="E31" i="11"/>
  <c r="G29" i="11"/>
  <c r="F20" i="11"/>
  <c r="E15" i="11"/>
  <c r="G13" i="11"/>
  <c r="E27" i="10"/>
  <c r="E26" i="10"/>
  <c r="F24" i="10"/>
  <c r="E12" i="10"/>
  <c r="E33" i="12"/>
  <c r="G31" i="12"/>
  <c r="H29" i="12"/>
  <c r="G22" i="12"/>
  <c r="G15" i="12"/>
  <c r="H13" i="12"/>
  <c r="E24" i="11"/>
  <c r="F22" i="11"/>
  <c r="E17" i="11"/>
  <c r="E31" i="10"/>
  <c r="E30" i="10"/>
  <c r="F28" i="10"/>
  <c r="E15" i="10"/>
  <c r="E14" i="10"/>
  <c r="H11" i="10"/>
  <c r="J7" i="5"/>
  <c r="J24" i="9" s="1"/>
  <c r="H11" i="5"/>
  <c r="E26" i="5"/>
  <c r="E19" i="5"/>
  <c r="G23" i="5"/>
  <c r="G14" i="5"/>
  <c r="G31" i="5"/>
  <c r="F19" i="5"/>
  <c r="E28" i="5"/>
  <c r="G32" i="5"/>
  <c r="E13" i="5"/>
  <c r="G17" i="5"/>
  <c r="E21" i="5"/>
  <c r="G25" i="5"/>
  <c r="E29" i="5"/>
  <c r="G33" i="5"/>
  <c r="E12" i="5"/>
  <c r="F17" i="5"/>
  <c r="H23" i="5"/>
  <c r="F14" i="5"/>
  <c r="H18" i="5"/>
  <c r="F22" i="5"/>
  <c r="H26" i="5"/>
  <c r="F30" i="5"/>
  <c r="H34" i="5"/>
  <c r="F11" i="5"/>
  <c r="H20" i="5"/>
  <c r="G13" i="5"/>
  <c r="H28" i="5"/>
  <c r="E25" i="5"/>
  <c r="F16" i="5"/>
  <c r="E34" i="5"/>
  <c r="F25" i="5"/>
  <c r="H29" i="5"/>
  <c r="F33" i="5"/>
  <c r="E14" i="5"/>
  <c r="G18" i="5"/>
  <c r="E22" i="5"/>
  <c r="G26" i="5"/>
  <c r="E30" i="5"/>
  <c r="G34" i="5"/>
  <c r="H13" i="5"/>
  <c r="E20" i="5"/>
  <c r="G24" i="5"/>
  <c r="F15" i="5"/>
  <c r="H19" i="5"/>
  <c r="F23" i="5"/>
  <c r="H27" i="5"/>
  <c r="F31" i="5"/>
  <c r="F34" i="9"/>
  <c r="G33" i="9"/>
  <c r="G32" i="9"/>
  <c r="G31" i="9"/>
  <c r="H30" i="9"/>
  <c r="E29" i="9"/>
  <c r="F28" i="9"/>
  <c r="F27" i="9"/>
  <c r="G26" i="9"/>
  <c r="H33" i="9"/>
  <c r="E32" i="9"/>
  <c r="H31" i="9"/>
  <c r="F30" i="9"/>
  <c r="F29" i="9"/>
  <c r="G27" i="9"/>
  <c r="E26" i="9"/>
  <c r="E25" i="9"/>
  <c r="E24" i="9"/>
  <c r="E23" i="9"/>
  <c r="F22" i="9"/>
  <c r="G21" i="9"/>
  <c r="H20" i="9"/>
  <c r="H19" i="9"/>
  <c r="E18" i="9"/>
  <c r="F17" i="9"/>
  <c r="F16" i="9"/>
  <c r="F15" i="9"/>
  <c r="E34" i="9"/>
  <c r="E30" i="9"/>
  <c r="H29" i="9"/>
  <c r="F26" i="9"/>
  <c r="H25" i="9"/>
  <c r="F24" i="9"/>
  <c r="H23" i="9"/>
  <c r="G22" i="9"/>
  <c r="E21" i="9"/>
  <c r="F19" i="9"/>
  <c r="F18" i="9"/>
  <c r="G16" i="9"/>
  <c r="E14" i="9"/>
  <c r="E13" i="9"/>
  <c r="E12" i="9"/>
  <c r="E11" i="9"/>
  <c r="E33" i="9"/>
  <c r="E28" i="9"/>
  <c r="F25" i="9"/>
  <c r="G24" i="9"/>
  <c r="G23" i="9"/>
  <c r="F20" i="9"/>
  <c r="G19" i="9"/>
  <c r="E17" i="9"/>
  <c r="E16" i="9"/>
  <c r="G15" i="9"/>
  <c r="F14" i="9"/>
  <c r="H13" i="9"/>
  <c r="F12" i="9"/>
  <c r="H11" i="9"/>
  <c r="F23" i="9"/>
  <c r="H22" i="9"/>
  <c r="E20" i="9"/>
  <c r="E19" i="9"/>
  <c r="H18" i="9"/>
  <c r="E15" i="9"/>
  <c r="G13" i="9"/>
  <c r="G11" i="9"/>
  <c r="H34" i="9"/>
  <c r="H32" i="9"/>
  <c r="F31" i="9"/>
  <c r="H28" i="9"/>
  <c r="H27" i="9"/>
  <c r="E22" i="9"/>
  <c r="H21" i="9"/>
  <c r="G18" i="9"/>
  <c r="H17" i="9"/>
  <c r="H14" i="9"/>
  <c r="F13" i="9"/>
  <c r="H12" i="9"/>
  <c r="F11" i="9"/>
  <c r="H26" i="9"/>
  <c r="F21" i="9"/>
  <c r="H16" i="9"/>
  <c r="G14" i="9"/>
  <c r="F33" i="9"/>
  <c r="G30" i="9"/>
  <c r="G28" i="9"/>
  <c r="H15" i="9"/>
  <c r="F32" i="9"/>
  <c r="I32" i="9" s="1"/>
  <c r="E27" i="9"/>
  <c r="G25" i="9"/>
  <c r="G20" i="9"/>
  <c r="G34" i="9"/>
  <c r="E31" i="9"/>
  <c r="G29" i="9"/>
  <c r="H24" i="9"/>
  <c r="G17" i="9"/>
  <c r="G12" i="9"/>
  <c r="I26" i="12" l="1"/>
  <c r="I31" i="9"/>
  <c r="W41" i="14"/>
  <c r="AF41" i="14"/>
  <c r="AI41" i="14"/>
  <c r="AC41" i="14"/>
  <c r="T41" i="14"/>
  <c r="W42" i="14"/>
  <c r="AI42" i="14"/>
  <c r="Z42" i="14"/>
  <c r="AF42" i="14"/>
  <c r="AC42" i="14"/>
  <c r="AC40" i="14"/>
  <c r="AF38" i="14"/>
  <c r="AF40" i="14"/>
  <c r="T38" i="14"/>
  <c r="W40" i="14"/>
  <c r="T40" i="14"/>
  <c r="AC38" i="14"/>
  <c r="AI38" i="14"/>
  <c r="W38" i="14"/>
  <c r="Z40" i="14"/>
  <c r="Z38" i="14"/>
  <c r="T21" i="14"/>
  <c r="I25" i="5"/>
  <c r="I24" i="5"/>
  <c r="I21" i="5"/>
  <c r="I16" i="5"/>
  <c r="I32" i="5"/>
  <c r="I30" i="5"/>
  <c r="M30" i="5"/>
  <c r="L22" i="9"/>
  <c r="L18" i="9"/>
  <c r="I29" i="5"/>
  <c r="K11" i="5"/>
  <c r="K28" i="5"/>
  <c r="K20" i="9"/>
  <c r="M34" i="9"/>
  <c r="J17" i="5"/>
  <c r="K17" i="5"/>
  <c r="K14" i="9"/>
  <c r="K27" i="9"/>
  <c r="L16" i="5"/>
  <c r="L20" i="5"/>
  <c r="K18" i="9"/>
  <c r="I27" i="5"/>
  <c r="I34" i="5"/>
  <c r="K31" i="5"/>
  <c r="L18" i="5"/>
  <c r="K30" i="5"/>
  <c r="M28" i="9"/>
  <c r="I33" i="5"/>
  <c r="I14" i="5"/>
  <c r="I12" i="5"/>
  <c r="M30" i="9"/>
  <c r="J34" i="9"/>
  <c r="M27" i="9"/>
  <c r="K22" i="9"/>
  <c r="K16" i="9"/>
  <c r="K31" i="9"/>
  <c r="K21" i="9"/>
  <c r="J15" i="9"/>
  <c r="M31" i="9"/>
  <c r="L14" i="9"/>
  <c r="K30" i="9"/>
  <c r="L25" i="9"/>
  <c r="L17" i="9"/>
  <c r="M11" i="9"/>
  <c r="K25" i="9"/>
  <c r="J16" i="9"/>
  <c r="M18" i="9"/>
  <c r="M14" i="9"/>
  <c r="M33" i="5"/>
  <c r="L28" i="5"/>
  <c r="K22" i="5"/>
  <c r="M17" i="5"/>
  <c r="L12" i="5"/>
  <c r="J34" i="5"/>
  <c r="M31" i="5"/>
  <c r="L26" i="5"/>
  <c r="K20" i="5"/>
  <c r="M15" i="5"/>
  <c r="K33" i="5"/>
  <c r="J27" i="5"/>
  <c r="M22" i="5"/>
  <c r="J12" i="5"/>
  <c r="L30" i="5"/>
  <c r="J26" i="5"/>
  <c r="L29" i="5"/>
  <c r="M11" i="5"/>
  <c r="K34" i="9"/>
  <c r="K28" i="9"/>
  <c r="K32" i="9"/>
  <c r="K26" i="9"/>
  <c r="M20" i="9"/>
  <c r="K15" i="9"/>
  <c r="L28" i="9"/>
  <c r="L19" i="9"/>
  <c r="J14" i="9"/>
  <c r="J22" i="9"/>
  <c r="L34" i="9"/>
  <c r="M29" i="9"/>
  <c r="M24" i="9"/>
  <c r="M15" i="9"/>
  <c r="K33" i="9"/>
  <c r="K24" i="9"/>
  <c r="L13" i="9"/>
  <c r="K13" i="9"/>
  <c r="J32" i="5"/>
  <c r="M26" i="5"/>
  <c r="K21" i="5"/>
  <c r="J16" i="5"/>
  <c r="K18" i="5"/>
  <c r="J33" i="5"/>
  <c r="J30" i="5"/>
  <c r="M24" i="5"/>
  <c r="K19" i="5"/>
  <c r="J14" i="5"/>
  <c r="L31" i="5"/>
  <c r="K26" i="5"/>
  <c r="M21" i="5"/>
  <c r="J25" i="5"/>
  <c r="M28" i="5"/>
  <c r="L14" i="5"/>
  <c r="M20" i="5"/>
  <c r="L21" i="5"/>
  <c r="L23" i="5"/>
  <c r="K34" i="5"/>
  <c r="J22" i="5"/>
  <c r="M32" i="5"/>
  <c r="K13" i="5"/>
  <c r="J24" i="5"/>
  <c r="M34" i="5"/>
  <c r="K23" i="9"/>
  <c r="J26" i="9"/>
  <c r="L20" i="9"/>
  <c r="M32" i="9"/>
  <c r="J11" i="9"/>
  <c r="M22" i="9"/>
  <c r="J18" i="9"/>
  <c r="J28" i="9"/>
  <c r="L31" i="9"/>
  <c r="I23" i="5"/>
  <c r="I20" i="5"/>
  <c r="K16" i="5"/>
  <c r="K24" i="5"/>
  <c r="K23" i="5"/>
  <c r="K25" i="5"/>
  <c r="K12" i="5"/>
  <c r="M23" i="5"/>
  <c r="L34" i="5"/>
  <c r="K14" i="5"/>
  <c r="M25" i="5"/>
  <c r="L11" i="9"/>
  <c r="J30" i="9"/>
  <c r="J21" i="9"/>
  <c r="M33" i="9"/>
  <c r="J13" i="9"/>
  <c r="L24" i="9"/>
  <c r="M19" i="9"/>
  <c r="L30" i="9"/>
  <c r="L32" i="9"/>
  <c r="J11" i="5"/>
  <c r="J18" i="5"/>
  <c r="L13" i="5"/>
  <c r="L15" i="5"/>
  <c r="M29" i="5"/>
  <c r="M16" i="5"/>
  <c r="K27" i="5"/>
  <c r="M14" i="5"/>
  <c r="M18" i="5"/>
  <c r="K29" i="5"/>
  <c r="J19" i="9"/>
  <c r="K19" i="9"/>
  <c r="M13" i="9"/>
  <c r="M26" i="9"/>
  <c r="M17" i="9"/>
  <c r="J17" i="9"/>
  <c r="J32" i="9"/>
  <c r="J23" i="9"/>
  <c r="L26" i="9"/>
  <c r="I13" i="5"/>
  <c r="I11" i="5"/>
  <c r="I24" i="10"/>
  <c r="I25" i="12"/>
  <c r="I23" i="11"/>
  <c r="I15" i="5"/>
  <c r="I18" i="5"/>
  <c r="I28" i="5"/>
  <c r="I22" i="5"/>
  <c r="I20" i="10"/>
  <c r="I21" i="10"/>
  <c r="I15" i="12"/>
  <c r="I20" i="12"/>
  <c r="I19" i="5"/>
  <c r="I26" i="5"/>
  <c r="I34" i="11"/>
  <c r="I14" i="11"/>
  <c r="I30" i="11"/>
  <c r="I25" i="10"/>
  <c r="I27" i="11"/>
  <c r="I32" i="11"/>
  <c r="I27" i="12"/>
  <c r="I31" i="5"/>
  <c r="I17" i="5"/>
  <c r="I12" i="10"/>
  <c r="I33" i="9"/>
  <c r="I17" i="10"/>
  <c r="I33" i="10"/>
  <c r="I13" i="11"/>
  <c r="I22" i="12"/>
  <c r="I11" i="11"/>
  <c r="I16" i="11"/>
  <c r="I11" i="10"/>
  <c r="I11" i="12"/>
  <c r="I20" i="11"/>
  <c r="I15" i="10"/>
  <c r="I19" i="10"/>
  <c r="I23" i="10"/>
  <c r="I27" i="10"/>
  <c r="I31" i="10"/>
  <c r="I15" i="11"/>
  <c r="I31" i="11"/>
  <c r="I18" i="12"/>
  <c r="I18" i="11"/>
  <c r="I31" i="12"/>
  <c r="I24" i="11"/>
  <c r="I12" i="12"/>
  <c r="I28" i="12"/>
  <c r="I15" i="9"/>
  <c r="I28" i="9"/>
  <c r="M34" i="12"/>
  <c r="M33" i="12"/>
  <c r="J32" i="12"/>
  <c r="J31" i="12"/>
  <c r="K30" i="12"/>
  <c r="K29" i="12"/>
  <c r="K28" i="12"/>
  <c r="K27" i="12"/>
  <c r="L26" i="12"/>
  <c r="L25" i="12"/>
  <c r="L24" i="12"/>
  <c r="L23" i="12"/>
  <c r="M22" i="12"/>
  <c r="M21" i="12"/>
  <c r="M20" i="12"/>
  <c r="M19" i="12"/>
  <c r="J18" i="12"/>
  <c r="J17" i="12"/>
  <c r="J16" i="12"/>
  <c r="J15" i="12"/>
  <c r="K14" i="12"/>
  <c r="K13" i="12"/>
  <c r="K12" i="12"/>
  <c r="K11" i="12"/>
  <c r="L34" i="11"/>
  <c r="L33" i="11"/>
  <c r="M32" i="11"/>
  <c r="M31" i="11"/>
  <c r="J30" i="11"/>
  <c r="J29" i="11"/>
  <c r="J28" i="11"/>
  <c r="J27" i="11"/>
  <c r="K26" i="11"/>
  <c r="K25" i="11"/>
  <c r="K24" i="11"/>
  <c r="K23" i="11"/>
  <c r="L22" i="11"/>
  <c r="L21" i="11"/>
  <c r="L20" i="11"/>
  <c r="L19" i="11"/>
  <c r="M18" i="11"/>
  <c r="M17" i="11"/>
  <c r="M16" i="11"/>
  <c r="M15" i="11"/>
  <c r="J14" i="11"/>
  <c r="J13" i="11"/>
  <c r="J12" i="11"/>
  <c r="J11" i="11"/>
  <c r="K34" i="10"/>
  <c r="L33" i="10"/>
  <c r="L32" i="10"/>
  <c r="M31" i="10"/>
  <c r="K30" i="10"/>
  <c r="L29" i="10"/>
  <c r="L28" i="10"/>
  <c r="M27" i="10"/>
  <c r="K26" i="10"/>
  <c r="L25" i="10"/>
  <c r="L24" i="10"/>
  <c r="M23" i="10"/>
  <c r="K22" i="10"/>
  <c r="L21" i="10"/>
  <c r="L20" i="10"/>
  <c r="M19" i="10"/>
  <c r="K18" i="10"/>
  <c r="L17" i="10"/>
  <c r="L16" i="10"/>
  <c r="M15" i="10"/>
  <c r="K14" i="10"/>
  <c r="K13" i="10"/>
  <c r="K12" i="10"/>
  <c r="K11" i="10"/>
  <c r="L34" i="12"/>
  <c r="J33" i="12"/>
  <c r="L31" i="12"/>
  <c r="J30" i="12"/>
  <c r="M29" i="12"/>
  <c r="J28" i="12"/>
  <c r="M27" i="12"/>
  <c r="K26" i="12"/>
  <c r="K24" i="12"/>
  <c r="L22" i="12"/>
  <c r="J21" i="12"/>
  <c r="L20" i="12"/>
  <c r="J19" i="12"/>
  <c r="L17" i="12"/>
  <c r="L15" i="12"/>
  <c r="J14" i="12"/>
  <c r="M13" i="12"/>
  <c r="J12" i="12"/>
  <c r="M11" i="12"/>
  <c r="K34" i="11"/>
  <c r="L32" i="11"/>
  <c r="J31" i="11"/>
  <c r="L29" i="11"/>
  <c r="L27" i="11"/>
  <c r="J26" i="11"/>
  <c r="M25" i="11"/>
  <c r="J24" i="11"/>
  <c r="M23" i="11"/>
  <c r="K22" i="11"/>
  <c r="K20" i="11"/>
  <c r="L18" i="11"/>
  <c r="J17" i="11"/>
  <c r="L16" i="11"/>
  <c r="J15" i="11"/>
  <c r="L13" i="11"/>
  <c r="L11" i="11"/>
  <c r="J34" i="10"/>
  <c r="K32" i="10"/>
  <c r="J31" i="10"/>
  <c r="J30" i="10"/>
  <c r="K28" i="10"/>
  <c r="J27" i="10"/>
  <c r="J26" i="10"/>
  <c r="K24" i="10"/>
  <c r="J23" i="10"/>
  <c r="J22" i="10"/>
  <c r="K20" i="10"/>
  <c r="J19" i="10"/>
  <c r="J18" i="10"/>
  <c r="K16" i="10"/>
  <c r="J15" i="10"/>
  <c r="J14" i="10"/>
  <c r="M13" i="10"/>
  <c r="J12" i="10"/>
  <c r="M11" i="10"/>
  <c r="K34" i="12"/>
  <c r="M32" i="12"/>
  <c r="K31" i="12"/>
  <c r="L29" i="12"/>
  <c r="L27" i="12"/>
  <c r="J26" i="12"/>
  <c r="M25" i="12"/>
  <c r="J24" i="12"/>
  <c r="M23" i="12"/>
  <c r="K22" i="12"/>
  <c r="K20" i="12"/>
  <c r="M18" i="12"/>
  <c r="K17" i="12"/>
  <c r="M16" i="12"/>
  <c r="K15" i="12"/>
  <c r="L13" i="12"/>
  <c r="L11" i="12"/>
  <c r="J34" i="11"/>
  <c r="M33" i="11"/>
  <c r="K32" i="11"/>
  <c r="M30" i="11"/>
  <c r="K29" i="11"/>
  <c r="M28" i="11"/>
  <c r="K27" i="11"/>
  <c r="L25" i="11"/>
  <c r="L23" i="11"/>
  <c r="J22" i="11"/>
  <c r="M21" i="11"/>
  <c r="J20" i="11"/>
  <c r="M19" i="11"/>
  <c r="K18" i="11"/>
  <c r="K16" i="11"/>
  <c r="M14" i="11"/>
  <c r="K13" i="11"/>
  <c r="M12" i="11"/>
  <c r="K11" i="11"/>
  <c r="M33" i="10"/>
  <c r="J32" i="10"/>
  <c r="M29" i="10"/>
  <c r="J28" i="10"/>
  <c r="M25" i="10"/>
  <c r="J24" i="10"/>
  <c r="M21" i="10"/>
  <c r="J20" i="10"/>
  <c r="M17" i="10"/>
  <c r="J16" i="10"/>
  <c r="L13" i="10"/>
  <c r="L11" i="10"/>
  <c r="J34" i="12"/>
  <c r="L33" i="12"/>
  <c r="L32" i="12"/>
  <c r="M30" i="12"/>
  <c r="J29" i="12"/>
  <c r="M28" i="12"/>
  <c r="J27" i="12"/>
  <c r="K25" i="12"/>
  <c r="K23" i="12"/>
  <c r="J22" i="12"/>
  <c r="L21" i="12"/>
  <c r="J20" i="12"/>
  <c r="L19" i="12"/>
  <c r="L18" i="12"/>
  <c r="L16" i="12"/>
  <c r="M14" i="12"/>
  <c r="J13" i="12"/>
  <c r="M12" i="12"/>
  <c r="J11" i="12"/>
  <c r="K33" i="11"/>
  <c r="J32" i="11"/>
  <c r="L31" i="11"/>
  <c r="L30" i="11"/>
  <c r="L28" i="11"/>
  <c r="M26" i="11"/>
  <c r="J25" i="11"/>
  <c r="M24" i="11"/>
  <c r="J23" i="11"/>
  <c r="K21" i="11"/>
  <c r="K19" i="11"/>
  <c r="J18" i="11"/>
  <c r="L17" i="11"/>
  <c r="J16" i="11"/>
  <c r="L15" i="11"/>
  <c r="L14" i="11"/>
  <c r="L12" i="11"/>
  <c r="M34" i="10"/>
  <c r="K33" i="10"/>
  <c r="L31" i="10"/>
  <c r="M30" i="10"/>
  <c r="K29" i="10"/>
  <c r="L27" i="10"/>
  <c r="M26" i="10"/>
  <c r="K25" i="10"/>
  <c r="L23" i="10"/>
  <c r="M22" i="10"/>
  <c r="K21" i="10"/>
  <c r="L19" i="10"/>
  <c r="M18" i="10"/>
  <c r="K17" i="10"/>
  <c r="L15" i="10"/>
  <c r="M14" i="10"/>
  <c r="J13" i="10"/>
  <c r="M12" i="10"/>
  <c r="J11" i="10"/>
  <c r="L28" i="12"/>
  <c r="M26" i="12"/>
  <c r="K21" i="12"/>
  <c r="L12" i="12"/>
  <c r="M34" i="11"/>
  <c r="K30" i="11"/>
  <c r="M27" i="11"/>
  <c r="J21" i="11"/>
  <c r="K14" i="11"/>
  <c r="M11" i="11"/>
  <c r="J25" i="10"/>
  <c r="K23" i="10"/>
  <c r="L22" i="10"/>
  <c r="M20" i="10"/>
  <c r="K32" i="12"/>
  <c r="L30" i="12"/>
  <c r="J23" i="12"/>
  <c r="K16" i="12"/>
  <c r="L14" i="12"/>
  <c r="K31" i="11"/>
  <c r="M29" i="11"/>
  <c r="M20" i="11"/>
  <c r="K15" i="11"/>
  <c r="M13" i="11"/>
  <c r="J29" i="10"/>
  <c r="K27" i="10"/>
  <c r="L26" i="10"/>
  <c r="M24" i="10"/>
  <c r="L12" i="10"/>
  <c r="K33" i="12"/>
  <c r="M31" i="12"/>
  <c r="J25" i="12"/>
  <c r="K18" i="12"/>
  <c r="M15" i="12"/>
  <c r="J33" i="11"/>
  <c r="L24" i="11"/>
  <c r="M22" i="11"/>
  <c r="K17" i="11"/>
  <c r="J33" i="10"/>
  <c r="K31" i="10"/>
  <c r="L30" i="10"/>
  <c r="M28" i="10"/>
  <c r="J17" i="10"/>
  <c r="K15" i="10"/>
  <c r="L14" i="10"/>
  <c r="M24" i="12"/>
  <c r="K19" i="12"/>
  <c r="M17" i="12"/>
  <c r="K28" i="11"/>
  <c r="L26" i="11"/>
  <c r="J19" i="11"/>
  <c r="K12" i="11"/>
  <c r="L34" i="10"/>
  <c r="M32" i="10"/>
  <c r="J21" i="10"/>
  <c r="K19" i="10"/>
  <c r="L18" i="10"/>
  <c r="M16" i="10"/>
  <c r="I32" i="10"/>
  <c r="I24" i="12"/>
  <c r="I12" i="11"/>
  <c r="I17" i="11"/>
  <c r="I28" i="11"/>
  <c r="I19" i="12"/>
  <c r="I19" i="11"/>
  <c r="I33" i="12"/>
  <c r="I29" i="11"/>
  <c r="I13" i="10"/>
  <c r="I25" i="11"/>
  <c r="I33" i="11"/>
  <c r="I13" i="12"/>
  <c r="I29" i="12"/>
  <c r="L11" i="5"/>
  <c r="M12" i="5"/>
  <c r="M27" i="5"/>
  <c r="L22" i="5"/>
  <c r="K15" i="5"/>
  <c r="M19" i="5"/>
  <c r="K32" i="5"/>
  <c r="J20" i="5"/>
  <c r="L24" i="5"/>
  <c r="J28" i="5"/>
  <c r="L32" i="5"/>
  <c r="J13" i="5"/>
  <c r="L17" i="5"/>
  <c r="J21" i="5"/>
  <c r="L25" i="5"/>
  <c r="J29" i="5"/>
  <c r="L33" i="5"/>
  <c r="M13" i="5"/>
  <c r="J19" i="5"/>
  <c r="J15" i="5"/>
  <c r="L19" i="5"/>
  <c r="J23" i="5"/>
  <c r="L27" i="5"/>
  <c r="J31" i="5"/>
  <c r="I11" i="9"/>
  <c r="I23" i="9"/>
  <c r="I25" i="9"/>
  <c r="M12" i="9"/>
  <c r="K11" i="9"/>
  <c r="L15" i="9"/>
  <c r="L23" i="9"/>
  <c r="K29" i="9"/>
  <c r="K12" i="9"/>
  <c r="L16" i="9"/>
  <c r="M23" i="9"/>
  <c r="J27" i="9"/>
  <c r="J31" i="9"/>
  <c r="L12" i="9"/>
  <c r="M21" i="9"/>
  <c r="J12" i="9"/>
  <c r="M16" i="9"/>
  <c r="J20" i="9"/>
  <c r="L27" i="9"/>
  <c r="J33" i="9"/>
  <c r="K17" i="9"/>
  <c r="L21" i="9"/>
  <c r="J25" i="9"/>
  <c r="L29" i="9"/>
  <c r="M25" i="9"/>
  <c r="J29" i="9"/>
  <c r="L33" i="9"/>
  <c r="I28" i="10"/>
  <c r="I22" i="11"/>
  <c r="I16" i="10"/>
  <c r="I16" i="12"/>
  <c r="I21" i="12"/>
  <c r="I32" i="12"/>
  <c r="I29" i="10"/>
  <c r="I21" i="11"/>
  <c r="I23" i="12"/>
  <c r="I17" i="12"/>
  <c r="I34" i="12"/>
  <c r="I14" i="10"/>
  <c r="I18" i="10"/>
  <c r="I22" i="10"/>
  <c r="I26" i="10"/>
  <c r="I30" i="10"/>
  <c r="I34" i="10"/>
  <c r="I26" i="11"/>
  <c r="I14" i="12"/>
  <c r="I30" i="12"/>
  <c r="I22" i="9"/>
  <c r="I26" i="9"/>
  <c r="I14" i="9"/>
  <c r="I18" i="9"/>
  <c r="I16" i="9"/>
  <c r="I29" i="9"/>
  <c r="I20" i="9"/>
  <c r="I19" i="9"/>
  <c r="I24" i="9"/>
  <c r="I17" i="9"/>
  <c r="I34" i="9"/>
  <c r="I30" i="9"/>
  <c r="I21" i="9"/>
  <c r="I13" i="9"/>
  <c r="I12" i="9"/>
  <c r="I27" i="9"/>
  <c r="N23" i="12" l="1"/>
  <c r="N21" i="10"/>
  <c r="O21" i="10" s="1"/>
  <c r="P21" i="10" s="1"/>
  <c r="U21" i="10" s="1"/>
  <c r="B34" i="14"/>
  <c r="T34" i="14" s="1"/>
  <c r="N11" i="5"/>
  <c r="O11" i="5" s="1"/>
  <c r="P11" i="5" s="1"/>
  <c r="N24" i="5"/>
  <c r="O24" i="5" s="1"/>
  <c r="P24" i="5" s="1"/>
  <c r="U24" i="5" s="1"/>
  <c r="N30" i="9"/>
  <c r="O30" i="9" s="1"/>
  <c r="P30" i="9" s="1"/>
  <c r="Y30" i="9" s="1"/>
  <c r="N14" i="9"/>
  <c r="O14" i="9" s="1"/>
  <c r="P14" i="9" s="1"/>
  <c r="N32" i="9"/>
  <c r="O32" i="9" s="1"/>
  <c r="P32" i="9" s="1"/>
  <c r="Y32" i="9" s="1"/>
  <c r="N20" i="5"/>
  <c r="O20" i="5" s="1"/>
  <c r="P20" i="5" s="1"/>
  <c r="N19" i="5"/>
  <c r="O19" i="5" s="1"/>
  <c r="P19" i="5" s="1"/>
  <c r="N12" i="5"/>
  <c r="O12" i="5" s="1"/>
  <c r="P12" i="5" s="1"/>
  <c r="Y12" i="5" s="1"/>
  <c r="N22" i="9"/>
  <c r="N19" i="9"/>
  <c r="O19" i="9" s="1"/>
  <c r="P19" i="9" s="1"/>
  <c r="N28" i="5"/>
  <c r="O28" i="5" s="1"/>
  <c r="P28" i="5" s="1"/>
  <c r="N25" i="9"/>
  <c r="O25" i="9" s="1"/>
  <c r="P25" i="9" s="1"/>
  <c r="N30" i="5"/>
  <c r="O30" i="5" s="1"/>
  <c r="P30" i="5" s="1"/>
  <c r="S30" i="5" s="1"/>
  <c r="N18" i="5"/>
  <c r="O18" i="5" s="1"/>
  <c r="P18" i="5" s="1"/>
  <c r="S18" i="5" s="1"/>
  <c r="N29" i="5"/>
  <c r="O29" i="5" s="1"/>
  <c r="P29" i="5" s="1"/>
  <c r="AA29" i="5" s="1"/>
  <c r="N23" i="5"/>
  <c r="O23" i="5" s="1"/>
  <c r="P23" i="5" s="1"/>
  <c r="O22" i="9"/>
  <c r="P22" i="9" s="1"/>
  <c r="AA22" i="9" s="1"/>
  <c r="N31" i="5"/>
  <c r="O31" i="5" s="1"/>
  <c r="P31" i="5" s="1"/>
  <c r="N21" i="5"/>
  <c r="O21" i="5" s="1"/>
  <c r="P21" i="5" s="1"/>
  <c r="U21" i="5" s="1"/>
  <c r="N34" i="9"/>
  <c r="O34" i="9" s="1"/>
  <c r="P34" i="9" s="1"/>
  <c r="N33" i="5"/>
  <c r="O33" i="5" s="1"/>
  <c r="P33" i="5" s="1"/>
  <c r="N18" i="9"/>
  <c r="O18" i="9" s="1"/>
  <c r="P18" i="9" s="1"/>
  <c r="N17" i="9"/>
  <c r="O17" i="9" s="1"/>
  <c r="P17" i="9" s="1"/>
  <c r="Y17" i="9" s="1"/>
  <c r="N11" i="9"/>
  <c r="O11" i="9" s="1"/>
  <c r="P11" i="9" s="1"/>
  <c r="Y11" i="9" s="1"/>
  <c r="N24" i="9"/>
  <c r="O24" i="9" s="1"/>
  <c r="P24" i="9" s="1"/>
  <c r="O23" i="12"/>
  <c r="P23" i="12" s="1"/>
  <c r="N29" i="9"/>
  <c r="O29" i="9" s="1"/>
  <c r="P29" i="9" s="1"/>
  <c r="N22" i="5"/>
  <c r="O22" i="5" s="1"/>
  <c r="P22" i="5" s="1"/>
  <c r="N15" i="10"/>
  <c r="O15" i="10" s="1"/>
  <c r="P15" i="10" s="1"/>
  <c r="N31" i="10"/>
  <c r="O31" i="10" s="1"/>
  <c r="P31" i="10" s="1"/>
  <c r="N31" i="11"/>
  <c r="O31" i="11" s="1"/>
  <c r="P31" i="11" s="1"/>
  <c r="N23" i="10"/>
  <c r="O23" i="10" s="1"/>
  <c r="P23" i="10" s="1"/>
  <c r="AA23" i="10" s="1"/>
  <c r="N33" i="9"/>
  <c r="O33" i="9" s="1"/>
  <c r="P33" i="9" s="1"/>
  <c r="W33" i="9" s="1"/>
  <c r="N27" i="9"/>
  <c r="O27" i="9" s="1"/>
  <c r="P27" i="9" s="1"/>
  <c r="N21" i="9"/>
  <c r="O21" i="9" s="1"/>
  <c r="P21" i="9" s="1"/>
  <c r="N27" i="5"/>
  <c r="O27" i="5" s="1"/>
  <c r="P27" i="5" s="1"/>
  <c r="N19" i="12"/>
  <c r="O19" i="12" s="1"/>
  <c r="P19" i="12" s="1"/>
  <c r="N15" i="11"/>
  <c r="O15" i="11" s="1"/>
  <c r="P15" i="11" s="1"/>
  <c r="N19" i="11"/>
  <c r="O19" i="11" s="1"/>
  <c r="P19" i="11" s="1"/>
  <c r="N26" i="11"/>
  <c r="O26" i="11" s="1"/>
  <c r="P26" i="11" s="1"/>
  <c r="N26" i="9"/>
  <c r="O26" i="9" s="1"/>
  <c r="P26" i="9" s="1"/>
  <c r="N16" i="5"/>
  <c r="O16" i="5" s="1"/>
  <c r="P16" i="5" s="1"/>
  <c r="N14" i="5"/>
  <c r="O14" i="5" s="1"/>
  <c r="P14" i="5" s="1"/>
  <c r="N20" i="9"/>
  <c r="O20" i="9" s="1"/>
  <c r="P20" i="9" s="1"/>
  <c r="N34" i="5"/>
  <c r="O34" i="5" s="1"/>
  <c r="P34" i="5" s="1"/>
  <c r="AA34" i="5" s="1"/>
  <c r="N26" i="5"/>
  <c r="O26" i="5" s="1"/>
  <c r="P26" i="5" s="1"/>
  <c r="N13" i="9"/>
  <c r="O13" i="9" s="1"/>
  <c r="P13" i="9" s="1"/>
  <c r="N28" i="9"/>
  <c r="O28" i="9" s="1"/>
  <c r="P28" i="9" s="1"/>
  <c r="U28" i="9" s="1"/>
  <c r="N17" i="5"/>
  <c r="O17" i="5" s="1"/>
  <c r="P17" i="5" s="1"/>
  <c r="N31" i="9"/>
  <c r="O31" i="9" s="1"/>
  <c r="P31" i="9" s="1"/>
  <c r="N25" i="5"/>
  <c r="O25" i="5" s="1"/>
  <c r="P25" i="5" s="1"/>
  <c r="Y25" i="5" s="1"/>
  <c r="N19" i="10"/>
  <c r="O19" i="10" s="1"/>
  <c r="P19" i="10" s="1"/>
  <c r="N12" i="11"/>
  <c r="O12" i="11" s="1"/>
  <c r="P12" i="11" s="1"/>
  <c r="N18" i="11"/>
  <c r="O18" i="11" s="1"/>
  <c r="P18" i="11" s="1"/>
  <c r="N15" i="12"/>
  <c r="O15" i="12" s="1"/>
  <c r="P15" i="12" s="1"/>
  <c r="S15" i="12" s="1"/>
  <c r="N20" i="12"/>
  <c r="O20" i="12" s="1"/>
  <c r="P20" i="12" s="1"/>
  <c r="N31" i="12"/>
  <c r="O31" i="12" s="1"/>
  <c r="P31" i="12" s="1"/>
  <c r="N16" i="10"/>
  <c r="O16" i="10" s="1"/>
  <c r="P16" i="10" s="1"/>
  <c r="N32" i="10"/>
  <c r="O32" i="10" s="1"/>
  <c r="P32" i="10" s="1"/>
  <c r="W32" i="10" s="1"/>
  <c r="N20" i="11"/>
  <c r="O20" i="11" s="1"/>
  <c r="P20" i="11" s="1"/>
  <c r="Y20" i="11" s="1"/>
  <c r="N13" i="12"/>
  <c r="O13" i="12" s="1"/>
  <c r="P13" i="12" s="1"/>
  <c r="N29" i="12"/>
  <c r="O29" i="12" s="1"/>
  <c r="P29" i="12" s="1"/>
  <c r="N16" i="9"/>
  <c r="O16" i="9" s="1"/>
  <c r="P16" i="9" s="1"/>
  <c r="N15" i="9"/>
  <c r="O15" i="9" s="1"/>
  <c r="P15" i="9" s="1"/>
  <c r="N13" i="5"/>
  <c r="O13" i="5" s="1"/>
  <c r="P13" i="5" s="1"/>
  <c r="N29" i="11"/>
  <c r="O29" i="11" s="1"/>
  <c r="P29" i="11" s="1"/>
  <c r="N28" i="10"/>
  <c r="O28" i="10" s="1"/>
  <c r="P28" i="10" s="1"/>
  <c r="N22" i="11"/>
  <c r="O22" i="11" s="1"/>
  <c r="P22" i="11" s="1"/>
  <c r="N24" i="12"/>
  <c r="O24" i="12" s="1"/>
  <c r="P24" i="12" s="1"/>
  <c r="N14" i="10"/>
  <c r="O14" i="10" s="1"/>
  <c r="P14" i="10" s="1"/>
  <c r="Q14" i="10" s="1"/>
  <c r="N18" i="10"/>
  <c r="O18" i="10" s="1"/>
  <c r="P18" i="10" s="1"/>
  <c r="N30" i="10"/>
  <c r="O30" i="10" s="1"/>
  <c r="P30" i="10" s="1"/>
  <c r="N34" i="10"/>
  <c r="O34" i="10" s="1"/>
  <c r="P34" i="10" s="1"/>
  <c r="N15" i="5"/>
  <c r="O15" i="5" s="1"/>
  <c r="P15" i="5" s="1"/>
  <c r="Q15" i="5" s="1"/>
  <c r="N11" i="10"/>
  <c r="O11" i="10" s="1"/>
  <c r="P11" i="10" s="1"/>
  <c r="N23" i="9"/>
  <c r="O23" i="9" s="1"/>
  <c r="P23" i="9" s="1"/>
  <c r="N32" i="5"/>
  <c r="O32" i="5" s="1"/>
  <c r="P32" i="5" s="1"/>
  <c r="S32" i="5" s="1"/>
  <c r="N12" i="9"/>
  <c r="O12" i="9" s="1"/>
  <c r="P12" i="9" s="1"/>
  <c r="N13" i="10"/>
  <c r="O13" i="10" s="1"/>
  <c r="P13" i="10" s="1"/>
  <c r="N25" i="11"/>
  <c r="O25" i="11" s="1"/>
  <c r="P25" i="11" s="1"/>
  <c r="N32" i="12"/>
  <c r="O32" i="12" s="1"/>
  <c r="P32" i="12" s="1"/>
  <c r="N21" i="12"/>
  <c r="O21" i="12" s="1"/>
  <c r="P21" i="12" s="1"/>
  <c r="N17" i="10"/>
  <c r="O17" i="10" s="1"/>
  <c r="P17" i="10" s="1"/>
  <c r="N33" i="10"/>
  <c r="O33" i="10" s="1"/>
  <c r="P33" i="10" s="1"/>
  <c r="N13" i="11"/>
  <c r="O13" i="11" s="1"/>
  <c r="P13" i="11" s="1"/>
  <c r="N22" i="12"/>
  <c r="O22" i="12" s="1"/>
  <c r="P22" i="12" s="1"/>
  <c r="N22" i="10"/>
  <c r="O22" i="10" s="1"/>
  <c r="P22" i="10" s="1"/>
  <c r="N26" i="10"/>
  <c r="O26" i="10" s="1"/>
  <c r="P26" i="10" s="1"/>
  <c r="N14" i="12"/>
  <c r="O14" i="12" s="1"/>
  <c r="P14" i="12" s="1"/>
  <c r="N30" i="12"/>
  <c r="O30" i="12" s="1"/>
  <c r="P30" i="12" s="1"/>
  <c r="N17" i="11"/>
  <c r="O17" i="11" s="1"/>
  <c r="P17" i="11" s="1"/>
  <c r="N33" i="12"/>
  <c r="O33" i="12" s="1"/>
  <c r="P33" i="12" s="1"/>
  <c r="N27" i="10"/>
  <c r="O27" i="10" s="1"/>
  <c r="P27" i="10" s="1"/>
  <c r="N16" i="12"/>
  <c r="O16" i="12" s="1"/>
  <c r="P16" i="12" s="1"/>
  <c r="N30" i="11"/>
  <c r="O30" i="11" s="1"/>
  <c r="P30" i="11" s="1"/>
  <c r="N29" i="10"/>
  <c r="O29" i="10" s="1"/>
  <c r="P29" i="10" s="1"/>
  <c r="N21" i="11"/>
  <c r="O21" i="11" s="1"/>
  <c r="P21" i="11" s="1"/>
  <c r="N17" i="12"/>
  <c r="O17" i="12" s="1"/>
  <c r="P17" i="12" s="1"/>
  <c r="N34" i="12"/>
  <c r="O34" i="12" s="1"/>
  <c r="P34" i="12" s="1"/>
  <c r="N24" i="10"/>
  <c r="O24" i="10" s="1"/>
  <c r="P24" i="10" s="1"/>
  <c r="N34" i="11"/>
  <c r="O34" i="11" s="1"/>
  <c r="P34" i="11" s="1"/>
  <c r="N26" i="12"/>
  <c r="O26" i="12" s="1"/>
  <c r="P26" i="12" s="1"/>
  <c r="N23" i="11"/>
  <c r="O23" i="11" s="1"/>
  <c r="P23" i="11" s="1"/>
  <c r="N11" i="12"/>
  <c r="O11" i="12" s="1"/>
  <c r="P11" i="12" s="1"/>
  <c r="N27" i="12"/>
  <c r="O27" i="12" s="1"/>
  <c r="P27" i="12" s="1"/>
  <c r="N28" i="11"/>
  <c r="O28" i="11" s="1"/>
  <c r="P28" i="11" s="1"/>
  <c r="N18" i="12"/>
  <c r="O18" i="12" s="1"/>
  <c r="P18" i="12" s="1"/>
  <c r="N14" i="11"/>
  <c r="O14" i="11" s="1"/>
  <c r="P14" i="11" s="1"/>
  <c r="N25" i="10"/>
  <c r="O25" i="10" s="1"/>
  <c r="P25" i="10" s="1"/>
  <c r="N33" i="11"/>
  <c r="O33" i="11" s="1"/>
  <c r="P33" i="11" s="1"/>
  <c r="N25" i="12"/>
  <c r="O25" i="12" s="1"/>
  <c r="P25" i="12" s="1"/>
  <c r="N11" i="11"/>
  <c r="O11" i="11" s="1"/>
  <c r="P11" i="11" s="1"/>
  <c r="N16" i="11"/>
  <c r="O16" i="11" s="1"/>
  <c r="P16" i="11" s="1"/>
  <c r="N27" i="11"/>
  <c r="O27" i="11" s="1"/>
  <c r="P27" i="11" s="1"/>
  <c r="N32" i="11"/>
  <c r="O32" i="11" s="1"/>
  <c r="P32" i="11" s="1"/>
  <c r="N20" i="10"/>
  <c r="O20" i="10" s="1"/>
  <c r="P20" i="10" s="1"/>
  <c r="N12" i="10"/>
  <c r="O12" i="10" s="1"/>
  <c r="P12" i="10" s="1"/>
  <c r="N24" i="11"/>
  <c r="O24" i="11" s="1"/>
  <c r="P24" i="11" s="1"/>
  <c r="N12" i="12"/>
  <c r="O12" i="12" s="1"/>
  <c r="P12" i="12" s="1"/>
  <c r="N28" i="12"/>
  <c r="O28" i="12" s="1"/>
  <c r="P28" i="12" s="1"/>
  <c r="Q26" i="11" l="1"/>
  <c r="Y26" i="11"/>
  <c r="W26" i="11"/>
  <c r="S26" i="11"/>
  <c r="AA26" i="11"/>
  <c r="U26" i="11"/>
  <c r="Y23" i="9"/>
  <c r="AA23" i="9"/>
  <c r="U33" i="5"/>
  <c r="Q12" i="5"/>
  <c r="Y14" i="10"/>
  <c r="Q25" i="5"/>
  <c r="U31" i="12"/>
  <c r="W16" i="5"/>
  <c r="AA31" i="9"/>
  <c r="S12" i="5"/>
  <c r="W12" i="5"/>
  <c r="U12" i="5"/>
  <c r="Q29" i="5"/>
  <c r="Q20" i="12"/>
  <c r="Q22" i="9"/>
  <c r="W17" i="9"/>
  <c r="Q13" i="5"/>
  <c r="AA24" i="5"/>
  <c r="Y33" i="5"/>
  <c r="W24" i="5"/>
  <c r="Y31" i="5"/>
  <c r="W17" i="5"/>
  <c r="U30" i="10"/>
  <c r="S24" i="5"/>
  <c r="AA16" i="5"/>
  <c r="Y24" i="5"/>
  <c r="AA12" i="5"/>
  <c r="Y16" i="5"/>
  <c r="Q18" i="5"/>
  <c r="W31" i="9"/>
  <c r="U29" i="5"/>
  <c r="AA11" i="5"/>
  <c r="U17" i="9"/>
  <c r="S17" i="9"/>
  <c r="U20" i="11"/>
  <c r="Q20" i="11"/>
  <c r="S20" i="12"/>
  <c r="W31" i="11"/>
  <c r="Q31" i="10"/>
  <c r="Y26" i="5"/>
  <c r="U16" i="5"/>
  <c r="W25" i="5"/>
  <c r="W26" i="5"/>
  <c r="S16" i="5"/>
  <c r="W29" i="5"/>
  <c r="U26" i="5"/>
  <c r="U31" i="9"/>
  <c r="S31" i="9"/>
  <c r="Y31" i="9"/>
  <c r="Q17" i="9"/>
  <c r="Y20" i="12"/>
  <c r="Q26" i="5"/>
  <c r="Y29" i="5"/>
  <c r="U25" i="5"/>
  <c r="Q24" i="5"/>
  <c r="W30" i="5"/>
  <c r="S29" i="5"/>
  <c r="Q16" i="5"/>
  <c r="Q14" i="9"/>
  <c r="AA17" i="9"/>
  <c r="S20" i="11"/>
  <c r="U31" i="10"/>
  <c r="S23" i="12"/>
  <c r="W23" i="12"/>
  <c r="U23" i="12"/>
  <c r="AA23" i="12"/>
  <c r="Y23" i="12"/>
  <c r="Q26" i="9"/>
  <c r="Y26" i="9"/>
  <c r="AA12" i="9"/>
  <c r="Y15" i="9"/>
  <c r="Y20" i="5"/>
  <c r="Y32" i="10"/>
  <c r="Q32" i="10"/>
  <c r="AA32" i="10"/>
  <c r="AA15" i="12"/>
  <c r="U15" i="10"/>
  <c r="W15" i="10"/>
  <c r="Q15" i="10"/>
  <c r="AA31" i="5"/>
  <c r="U31" i="5"/>
  <c r="W31" i="5"/>
  <c r="AA18" i="5"/>
  <c r="Y18" i="5"/>
  <c r="W19" i="9"/>
  <c r="U20" i="5"/>
  <c r="S31" i="5"/>
  <c r="W26" i="9"/>
  <c r="AA28" i="5"/>
  <c r="Q28" i="5"/>
  <c r="U15" i="12"/>
  <c r="AA15" i="10"/>
  <c r="Y15" i="10"/>
  <c r="S17" i="5"/>
  <c r="Q17" i="5"/>
  <c r="AA17" i="5"/>
  <c r="U17" i="5"/>
  <c r="S34" i="5"/>
  <c r="W34" i="5"/>
  <c r="Q34" i="5"/>
  <c r="Q31" i="5"/>
  <c r="U34" i="5"/>
  <c r="U18" i="5"/>
  <c r="Y19" i="9"/>
  <c r="Q15" i="12"/>
  <c r="S19" i="5"/>
  <c r="Q19" i="5"/>
  <c r="AA19" i="5"/>
  <c r="Y15" i="5"/>
  <c r="AA15" i="5"/>
  <c r="Q20" i="5"/>
  <c r="Y34" i="5"/>
  <c r="W18" i="5"/>
  <c r="Y17" i="5"/>
  <c r="W19" i="5"/>
  <c r="Q15" i="9"/>
  <c r="W15" i="12"/>
  <c r="Y15" i="12"/>
  <c r="S15" i="10"/>
  <c r="S25" i="5"/>
  <c r="AA25" i="5"/>
  <c r="Q33" i="5"/>
  <c r="U22" i="5"/>
  <c r="Y30" i="5"/>
  <c r="Y14" i="5"/>
  <c r="W33" i="5"/>
  <c r="AA34" i="9"/>
  <c r="Q34" i="9"/>
  <c r="Q30" i="5"/>
  <c r="U30" i="5"/>
  <c r="U11" i="9"/>
  <c r="S22" i="9"/>
  <c r="Y22" i="9"/>
  <c r="AA14" i="5"/>
  <c r="Q14" i="5"/>
  <c r="U22" i="9"/>
  <c r="S18" i="9"/>
  <c r="AA26" i="9"/>
  <c r="U26" i="9"/>
  <c r="S23" i="9"/>
  <c r="Q19" i="9"/>
  <c r="S14" i="10"/>
  <c r="Y31" i="11"/>
  <c r="AA33" i="5"/>
  <c r="U19" i="9"/>
  <c r="AA19" i="9"/>
  <c r="AA14" i="10"/>
  <c r="S33" i="5"/>
  <c r="W32" i="5"/>
  <c r="AA30" i="5"/>
  <c r="AA32" i="5"/>
  <c r="U32" i="5"/>
  <c r="W22" i="9"/>
  <c r="Q23" i="9"/>
  <c r="S19" i="9"/>
  <c r="W14" i="10"/>
  <c r="U14" i="10"/>
  <c r="U15" i="11"/>
  <c r="S28" i="9"/>
  <c r="Y27" i="5"/>
  <c r="W23" i="10"/>
  <c r="U23" i="10"/>
  <c r="W22" i="5"/>
  <c r="S11" i="9"/>
  <c r="Q22" i="5"/>
  <c r="Q27" i="5"/>
  <c r="AA27" i="5"/>
  <c r="W28" i="9"/>
  <c r="Q23" i="10"/>
  <c r="S21" i="10"/>
  <c r="S19" i="10"/>
  <c r="U19" i="10"/>
  <c r="Y19" i="10"/>
  <c r="Q18" i="9"/>
  <c r="U14" i="5"/>
  <c r="AA31" i="11"/>
  <c r="U31" i="11"/>
  <c r="S31" i="11"/>
  <c r="Q32" i="9"/>
  <c r="AA32" i="9"/>
  <c r="Y22" i="5"/>
  <c r="S27" i="5"/>
  <c r="U27" i="5"/>
  <c r="AA11" i="9"/>
  <c r="Q11" i="9"/>
  <c r="S16" i="9"/>
  <c r="AA18" i="9"/>
  <c r="AA28" i="9"/>
  <c r="Q28" i="9"/>
  <c r="Y34" i="9"/>
  <c r="U34" i="9"/>
  <c r="W34" i="9"/>
  <c r="S23" i="10"/>
  <c r="Y23" i="10"/>
  <c r="Q31" i="12"/>
  <c r="Y30" i="10"/>
  <c r="W30" i="10"/>
  <c r="U11" i="5"/>
  <c r="W14" i="5"/>
  <c r="S14" i="5"/>
  <c r="AA22" i="5"/>
  <c r="S22" i="5"/>
  <c r="W28" i="5"/>
  <c r="S11" i="5"/>
  <c r="W27" i="5"/>
  <c r="W11" i="9"/>
  <c r="Y28" i="9"/>
  <c r="U30" i="9"/>
  <c r="S32" i="9"/>
  <c r="S23" i="5"/>
  <c r="AA30" i="10"/>
  <c r="Q21" i="10"/>
  <c r="Q31" i="11"/>
  <c r="S31" i="12"/>
  <c r="Q19" i="10"/>
  <c r="U32" i="9"/>
  <c r="W32" i="9"/>
  <c r="S15" i="5"/>
  <c r="AA20" i="5"/>
  <c r="Q32" i="5"/>
  <c r="Y32" i="5"/>
  <c r="S26" i="5"/>
  <c r="AA26" i="5"/>
  <c r="W20" i="5"/>
  <c r="Q31" i="9"/>
  <c r="W20" i="11"/>
  <c r="U20" i="12"/>
  <c r="S32" i="10"/>
  <c r="W31" i="10"/>
  <c r="Y31" i="10"/>
  <c r="S15" i="9"/>
  <c r="U15" i="9"/>
  <c r="AA15" i="9"/>
  <c r="Q23" i="12"/>
  <c r="Y34" i="10"/>
  <c r="AA34" i="10"/>
  <c r="Q34" i="10"/>
  <c r="W34" i="10"/>
  <c r="S34" i="10"/>
  <c r="S24" i="12"/>
  <c r="Y24" i="12"/>
  <c r="AA24" i="12"/>
  <c r="Q24" i="12"/>
  <c r="U24" i="12"/>
  <c r="Y19" i="12"/>
  <c r="AA19" i="12"/>
  <c r="S19" i="12"/>
  <c r="Q19" i="12"/>
  <c r="W19" i="12"/>
  <c r="S13" i="9"/>
  <c r="Y13" i="9"/>
  <c r="AA13" i="9"/>
  <c r="W13" i="9"/>
  <c r="AA29" i="12"/>
  <c r="S29" i="12"/>
  <c r="Q29" i="12"/>
  <c r="U29" i="12"/>
  <c r="Y29" i="12"/>
  <c r="Q16" i="10"/>
  <c r="Y12" i="11"/>
  <c r="U12" i="11"/>
  <c r="W12" i="11"/>
  <c r="Q12" i="11"/>
  <c r="S12" i="11"/>
  <c r="AA12" i="11"/>
  <c r="Y33" i="9"/>
  <c r="U33" i="9"/>
  <c r="S33" i="9"/>
  <c r="Q33" i="9"/>
  <c r="U13" i="9"/>
  <c r="W24" i="12"/>
  <c r="U34" i="10"/>
  <c r="AA16" i="10"/>
  <c r="AA33" i="9"/>
  <c r="Q13" i="9"/>
  <c r="U19" i="12"/>
  <c r="W29" i="12"/>
  <c r="AA13" i="5"/>
  <c r="U13" i="5"/>
  <c r="S28" i="5"/>
  <c r="W11" i="5"/>
  <c r="W13" i="5"/>
  <c r="U15" i="5"/>
  <c r="S14" i="9"/>
  <c r="U16" i="9"/>
  <c r="Q16" i="9"/>
  <c r="Y18" i="9"/>
  <c r="AA30" i="9"/>
  <c r="Q30" i="10"/>
  <c r="W21" i="10"/>
  <c r="AA21" i="10"/>
  <c r="Q15" i="11"/>
  <c r="AA15" i="11"/>
  <c r="Y31" i="12"/>
  <c r="Y19" i="5"/>
  <c r="S20" i="5"/>
  <c r="Y13" i="5"/>
  <c r="S13" i="5"/>
  <c r="Q11" i="5"/>
  <c r="Y11" i="5"/>
  <c r="W15" i="5"/>
  <c r="U19" i="5"/>
  <c r="W14" i="9"/>
  <c r="W16" i="9"/>
  <c r="Y16" i="9"/>
  <c r="W18" i="9"/>
  <c r="U18" i="9"/>
  <c r="S26" i="9"/>
  <c r="S34" i="9"/>
  <c r="W30" i="9"/>
  <c r="S30" i="10"/>
  <c r="AA20" i="11"/>
  <c r="AA20" i="12"/>
  <c r="W20" i="12"/>
  <c r="Y21" i="10"/>
  <c r="U32" i="10"/>
  <c r="S31" i="10"/>
  <c r="AA31" i="10"/>
  <c r="S15" i="11"/>
  <c r="W15" i="9"/>
  <c r="AA31" i="12"/>
  <c r="W31" i="12"/>
  <c r="W19" i="10"/>
  <c r="AA19" i="10"/>
  <c r="W23" i="9"/>
  <c r="S16" i="10"/>
  <c r="Y16" i="10"/>
  <c r="Q23" i="5"/>
  <c r="AA21" i="5"/>
  <c r="U23" i="9"/>
  <c r="U16" i="10"/>
  <c r="W16" i="10"/>
  <c r="Y21" i="5"/>
  <c r="Y28" i="5"/>
  <c r="U23" i="5"/>
  <c r="AA16" i="9"/>
  <c r="S30" i="9"/>
  <c r="Q30" i="9"/>
  <c r="W15" i="11"/>
  <c r="Y15" i="11"/>
  <c r="W11" i="12"/>
  <c r="AA11" i="12"/>
  <c r="U11" i="12"/>
  <c r="S11" i="12"/>
  <c r="Y11" i="12"/>
  <c r="Q11" i="12"/>
  <c r="Y12" i="10"/>
  <c r="Q12" i="10"/>
  <c r="S12" i="10"/>
  <c r="AA12" i="10"/>
  <c r="W12" i="10"/>
  <c r="U12" i="10"/>
  <c r="Y16" i="11"/>
  <c r="Q16" i="11"/>
  <c r="W16" i="11"/>
  <c r="AA16" i="11"/>
  <c r="U16" i="11"/>
  <c r="S16" i="11"/>
  <c r="U25" i="10"/>
  <c r="W25" i="10"/>
  <c r="Q25" i="10"/>
  <c r="AA25" i="10"/>
  <c r="Y25" i="10"/>
  <c r="S25" i="10"/>
  <c r="U11" i="11"/>
  <c r="S11" i="11"/>
  <c r="Q11" i="11"/>
  <c r="AA11" i="11"/>
  <c r="Y11" i="11"/>
  <c r="W11" i="11"/>
  <c r="U11" i="10"/>
  <c r="S11" i="10"/>
  <c r="AA11" i="10"/>
  <c r="Y11" i="10"/>
  <c r="W11" i="10"/>
  <c r="Q11" i="10"/>
  <c r="Y34" i="12"/>
  <c r="Q34" i="12"/>
  <c r="U34" i="12"/>
  <c r="AA34" i="12"/>
  <c r="W34" i="12"/>
  <c r="S34" i="12"/>
  <c r="Y30" i="11"/>
  <c r="Q30" i="11"/>
  <c r="AA30" i="11"/>
  <c r="S30" i="11"/>
  <c r="W30" i="11"/>
  <c r="U30" i="11"/>
  <c r="U17" i="11"/>
  <c r="W17" i="11"/>
  <c r="Q17" i="11"/>
  <c r="AA17" i="11"/>
  <c r="Y17" i="11"/>
  <c r="S17" i="11"/>
  <c r="U18" i="12"/>
  <c r="AA18" i="12"/>
  <c r="Q18" i="12"/>
  <c r="Y18" i="12"/>
  <c r="W18" i="12"/>
  <c r="S18" i="12"/>
  <c r="Y26" i="10"/>
  <c r="Q26" i="10"/>
  <c r="U26" i="10"/>
  <c r="S26" i="10"/>
  <c r="AA26" i="10"/>
  <c r="W26" i="10"/>
  <c r="U22" i="12"/>
  <c r="W22" i="12"/>
  <c r="S22" i="12"/>
  <c r="AA22" i="12"/>
  <c r="Q22" i="12"/>
  <c r="Y22" i="12"/>
  <c r="U33" i="10"/>
  <c r="W33" i="10"/>
  <c r="S33" i="10"/>
  <c r="Q33" i="10"/>
  <c r="AA33" i="10"/>
  <c r="Y33" i="10"/>
  <c r="Y18" i="11"/>
  <c r="Q18" i="11"/>
  <c r="U18" i="11"/>
  <c r="S18" i="11"/>
  <c r="AA18" i="11"/>
  <c r="W18" i="11"/>
  <c r="Y23" i="5"/>
  <c r="AA23" i="5"/>
  <c r="Y28" i="12"/>
  <c r="Q28" i="12"/>
  <c r="S28" i="12"/>
  <c r="AA28" i="12"/>
  <c r="W28" i="12"/>
  <c r="U28" i="12"/>
  <c r="Y20" i="10"/>
  <c r="Q20" i="10"/>
  <c r="S20" i="10"/>
  <c r="U20" i="10"/>
  <c r="AA20" i="10"/>
  <c r="W20" i="10"/>
  <c r="Y14" i="11"/>
  <c r="Q14" i="11"/>
  <c r="AA14" i="11"/>
  <c r="W14" i="11"/>
  <c r="U14" i="11"/>
  <c r="S14" i="11"/>
  <c r="U27" i="12"/>
  <c r="S27" i="12"/>
  <c r="AA27" i="12"/>
  <c r="Y27" i="12"/>
  <c r="W27" i="12"/>
  <c r="Q27" i="12"/>
  <c r="Y26" i="12"/>
  <c r="Q26" i="12"/>
  <c r="U26" i="12"/>
  <c r="AA26" i="12"/>
  <c r="W26" i="12"/>
  <c r="S26" i="12"/>
  <c r="Y17" i="12"/>
  <c r="Q17" i="12"/>
  <c r="S17" i="12"/>
  <c r="AA17" i="12"/>
  <c r="W17" i="12"/>
  <c r="U17" i="12"/>
  <c r="U16" i="12"/>
  <c r="S16" i="12"/>
  <c r="AA16" i="12"/>
  <c r="Q16" i="12"/>
  <c r="Y16" i="12"/>
  <c r="W16" i="12"/>
  <c r="Y28" i="10"/>
  <c r="Q28" i="10"/>
  <c r="S28" i="10"/>
  <c r="W28" i="10"/>
  <c r="U28" i="10"/>
  <c r="AA28" i="10"/>
  <c r="Y30" i="12"/>
  <c r="Q30" i="12"/>
  <c r="AA30" i="12"/>
  <c r="U30" i="12"/>
  <c r="S30" i="12"/>
  <c r="W30" i="12"/>
  <c r="Y22" i="10"/>
  <c r="Q22" i="10"/>
  <c r="AA22" i="10"/>
  <c r="W22" i="10"/>
  <c r="U22" i="10"/>
  <c r="S22" i="10"/>
  <c r="U29" i="11"/>
  <c r="AA29" i="11"/>
  <c r="Q29" i="11"/>
  <c r="Y29" i="11"/>
  <c r="W29" i="11"/>
  <c r="S29" i="11"/>
  <c r="U17" i="10"/>
  <c r="W17" i="10"/>
  <c r="AA17" i="10"/>
  <c r="Y17" i="10"/>
  <c r="S17" i="10"/>
  <c r="Q17" i="10"/>
  <c r="W13" i="12"/>
  <c r="AA13" i="12"/>
  <c r="Y13" i="12"/>
  <c r="U13" i="12"/>
  <c r="S13" i="12"/>
  <c r="Q13" i="12"/>
  <c r="S21" i="5"/>
  <c r="W23" i="5"/>
  <c r="Y12" i="12"/>
  <c r="AA12" i="12"/>
  <c r="Q12" i="12"/>
  <c r="U12" i="12"/>
  <c r="S12" i="12"/>
  <c r="W12" i="12"/>
  <c r="Y32" i="11"/>
  <c r="Q32" i="11"/>
  <c r="W32" i="11"/>
  <c r="U32" i="11"/>
  <c r="S32" i="11"/>
  <c r="AA32" i="11"/>
  <c r="U25" i="12"/>
  <c r="W25" i="12"/>
  <c r="Y25" i="12"/>
  <c r="S25" i="12"/>
  <c r="Q25" i="12"/>
  <c r="AA25" i="12"/>
  <c r="Y34" i="11"/>
  <c r="Q34" i="11"/>
  <c r="U34" i="11"/>
  <c r="AA34" i="11"/>
  <c r="W34" i="11"/>
  <c r="S34" i="11"/>
  <c r="U21" i="11"/>
  <c r="AA21" i="11"/>
  <c r="Q21" i="11"/>
  <c r="Y21" i="11"/>
  <c r="W21" i="11"/>
  <c r="S21" i="11"/>
  <c r="U27" i="10"/>
  <c r="S27" i="10"/>
  <c r="W27" i="10"/>
  <c r="Q27" i="10"/>
  <c r="AA27" i="10"/>
  <c r="Y27" i="10"/>
  <c r="Q14" i="12"/>
  <c r="U14" i="12"/>
  <c r="S14" i="12"/>
  <c r="W14" i="12"/>
  <c r="Y14" i="12"/>
  <c r="AA14" i="12"/>
  <c r="Y18" i="10"/>
  <c r="Q18" i="10"/>
  <c r="U18" i="10"/>
  <c r="AA18" i="10"/>
  <c r="W18" i="10"/>
  <c r="S18" i="10"/>
  <c r="U13" i="11"/>
  <c r="AA13" i="11"/>
  <c r="Q13" i="11"/>
  <c r="W13" i="11"/>
  <c r="S13" i="11"/>
  <c r="Y13" i="11"/>
  <c r="Y21" i="12"/>
  <c r="Q21" i="12"/>
  <c r="W21" i="12"/>
  <c r="U21" i="12"/>
  <c r="S21" i="12"/>
  <c r="AA21" i="12"/>
  <c r="U25" i="11"/>
  <c r="W25" i="11"/>
  <c r="S25" i="11"/>
  <c r="Q25" i="11"/>
  <c r="AA25" i="11"/>
  <c r="Y25" i="11"/>
  <c r="Q21" i="5"/>
  <c r="W21" i="5"/>
  <c r="U28" i="5"/>
  <c r="U14" i="9"/>
  <c r="Y14" i="9"/>
  <c r="Y24" i="11"/>
  <c r="Q24" i="11"/>
  <c r="W24" i="11"/>
  <c r="S24" i="11"/>
  <c r="AA24" i="11"/>
  <c r="U24" i="11"/>
  <c r="U27" i="11"/>
  <c r="S27" i="11"/>
  <c r="Y27" i="11"/>
  <c r="W27" i="11"/>
  <c r="Q27" i="11"/>
  <c r="AA27" i="11"/>
  <c r="U33" i="11"/>
  <c r="W33" i="11"/>
  <c r="Y33" i="11"/>
  <c r="S33" i="11"/>
  <c r="Q33" i="11"/>
  <c r="AA33" i="11"/>
  <c r="Y28" i="11"/>
  <c r="Q28" i="11"/>
  <c r="S28" i="11"/>
  <c r="AA28" i="11"/>
  <c r="W28" i="11"/>
  <c r="U28" i="11"/>
  <c r="U23" i="11"/>
  <c r="Y23" i="11"/>
  <c r="Q23" i="11"/>
  <c r="AA23" i="11"/>
  <c r="W23" i="11"/>
  <c r="S23" i="11"/>
  <c r="Y24" i="10"/>
  <c r="Q24" i="10"/>
  <c r="W24" i="10"/>
  <c r="AA24" i="10"/>
  <c r="U24" i="10"/>
  <c r="S24" i="10"/>
  <c r="U29" i="10"/>
  <c r="AA29" i="10"/>
  <c r="Q29" i="10"/>
  <c r="Y29" i="10"/>
  <c r="W29" i="10"/>
  <c r="S29" i="10"/>
  <c r="U33" i="12"/>
  <c r="W33" i="12"/>
  <c r="AA33" i="12"/>
  <c r="Y33" i="12"/>
  <c r="S33" i="12"/>
  <c r="Q33" i="12"/>
  <c r="Y25" i="9"/>
  <c r="U25" i="9"/>
  <c r="AA25" i="9"/>
  <c r="Q25" i="9"/>
  <c r="S25" i="9"/>
  <c r="W25" i="9"/>
  <c r="Y22" i="11"/>
  <c r="Q22" i="11"/>
  <c r="AA22" i="11"/>
  <c r="W22" i="11"/>
  <c r="U22" i="11"/>
  <c r="S22" i="11"/>
  <c r="U19" i="11"/>
  <c r="S19" i="11"/>
  <c r="W19" i="11"/>
  <c r="Q19" i="11"/>
  <c r="AA19" i="11"/>
  <c r="Y19" i="11"/>
  <c r="Y32" i="12"/>
  <c r="Q32" i="12"/>
  <c r="W32" i="12"/>
  <c r="AA32" i="12"/>
  <c r="U32" i="12"/>
  <c r="S32" i="12"/>
  <c r="U13" i="10"/>
  <c r="AA13" i="10"/>
  <c r="Q13" i="10"/>
  <c r="S13" i="10"/>
  <c r="Y13" i="10"/>
  <c r="W13" i="10"/>
  <c r="U12" i="9"/>
  <c r="AA14" i="9"/>
  <c r="W12" i="9"/>
  <c r="S12" i="9"/>
  <c r="Y12" i="9"/>
  <c r="Q12" i="9"/>
  <c r="Y21" i="9"/>
  <c r="S21" i="9"/>
  <c r="Q21" i="9"/>
  <c r="W21" i="9"/>
  <c r="AA21" i="9"/>
  <c r="U21" i="9"/>
  <c r="Y24" i="9"/>
  <c r="Q24" i="9"/>
  <c r="S24" i="9"/>
  <c r="W24" i="9"/>
  <c r="AA24" i="9"/>
  <c r="U24" i="9"/>
  <c r="Y29" i="9"/>
  <c r="S29" i="9"/>
  <c r="U29" i="9"/>
  <c r="AA29" i="9"/>
  <c r="W29" i="9"/>
  <c r="Q29" i="9"/>
  <c r="Y20" i="9"/>
  <c r="Q20" i="9"/>
  <c r="W20" i="9"/>
  <c r="U20" i="9"/>
  <c r="AA20" i="9"/>
  <c r="S20" i="9"/>
  <c r="Y27" i="9"/>
  <c r="AA27" i="9"/>
  <c r="U27" i="9"/>
  <c r="W27" i="9"/>
  <c r="Q27" i="9"/>
  <c r="S2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Reedy, James - NRCS, Norfolk, NE</author>
  </authors>
  <commentList>
    <comment ref="B20" authorId="0" shapeId="0" xr:uid="{00000000-0006-0000-0100-000001000000}">
      <text>
        <r>
          <rPr>
            <b/>
            <sz val="10"/>
            <color indexed="81"/>
            <rFont val="Tahoma"/>
            <family val="2"/>
          </rPr>
          <t>Clean Till = &lt;10% Residue
Conventional Till = 10% - 35% Residue
Mulch Till / Low Res. No-Till = &gt;35% Residue
High Res. No Till = &gt;50% Residue</t>
        </r>
      </text>
    </comment>
  </commentList>
</comments>
</file>

<file path=xl/sharedStrings.xml><?xml version="1.0" encoding="utf-8"?>
<sst xmlns="http://schemas.openxmlformats.org/spreadsheetml/2006/main" count="724" uniqueCount="261">
  <si>
    <t>cfs</t>
  </si>
  <si>
    <t>Q, cfs</t>
  </si>
  <si>
    <t>Max Bed Slope, %</t>
  </si>
  <si>
    <t>Flow Depth, ft</t>
  </si>
  <si>
    <t>10' Parabolic Channel</t>
  </si>
  <si>
    <t>15' Parabolic Channel</t>
  </si>
  <si>
    <t xml:space="preserve">Vegetation Stem Density = </t>
  </si>
  <si>
    <t>stems per sq. ft.</t>
  </si>
  <si>
    <t>Vegetal Cover Factor =</t>
  </si>
  <si>
    <t xml:space="preserve">Vegetation Stem Length = </t>
  </si>
  <si>
    <t>feet</t>
  </si>
  <si>
    <t>(Sudan Grass - best representation of annual crop)</t>
  </si>
  <si>
    <t>20' Parabolic Channel</t>
  </si>
  <si>
    <t>Acres</t>
  </si>
  <si>
    <t>Percent</t>
  </si>
  <si>
    <t>Maximum Bed Slopes Allowed When Treating Ephemeral Gullies with Cover Crops</t>
  </si>
  <si>
    <t>Watershed Runoff Curve Number =</t>
  </si>
  <si>
    <t>Drainage Area,</t>
  </si>
  <si>
    <t>Average
Watershed Slope,</t>
  </si>
  <si>
    <t>2-yr,24-hr Q,</t>
  </si>
  <si>
    <t>10' TW</t>
  </si>
  <si>
    <t>D</t>
  </si>
  <si>
    <t>15' TW</t>
  </si>
  <si>
    <t>20' TW</t>
  </si>
  <si>
    <t>(Refer to NEH 650, Engineering Field Handbook, Chapter 2)</t>
  </si>
  <si>
    <r>
      <rPr>
        <vertAlign val="superscript"/>
        <sz val="11"/>
        <color theme="1"/>
        <rFont val="Calibri"/>
        <family val="2"/>
        <scheme val="minor"/>
      </rPr>
      <t>1</t>
    </r>
    <r>
      <rPr>
        <sz val="11"/>
        <color theme="1"/>
        <rFont val="Calibri"/>
        <family val="2"/>
        <scheme val="minor"/>
      </rPr>
      <t xml:space="preserve"> See the Nebraska Amendment to NEH 650 EFH Chapter 7, "Soil Erodibility Categories for Nebraska Soils", available on the eFOTG, Section IV, Grassed Waterway Practice Standard 412</t>
    </r>
  </si>
  <si>
    <r>
      <rPr>
        <b/>
        <u/>
        <sz val="11"/>
        <color theme="1"/>
        <rFont val="Calibri"/>
        <family val="2"/>
        <scheme val="minor"/>
      </rPr>
      <t>Erosion Resistant Soil</t>
    </r>
    <r>
      <rPr>
        <sz val="11"/>
        <color theme="1"/>
        <rFont val="Calibri"/>
        <family val="2"/>
        <scheme val="minor"/>
      </rPr>
      <t xml:space="preserve"> in Flow Area </t>
    </r>
    <r>
      <rPr>
        <i/>
        <sz val="11"/>
        <color theme="1"/>
        <rFont val="Calibri"/>
        <family val="2"/>
        <scheme val="minor"/>
      </rPr>
      <t xml:space="preserve">(Max. Soil Stress = 0.05 psf) </t>
    </r>
    <r>
      <rPr>
        <i/>
        <vertAlign val="superscript"/>
        <sz val="11"/>
        <color theme="1"/>
        <rFont val="Calibri"/>
        <family val="2"/>
        <scheme val="minor"/>
      </rPr>
      <t>1</t>
    </r>
  </si>
  <si>
    <t>- Cover crop stem height = 6 inches</t>
  </si>
  <si>
    <t>- Cover crop stem density = 30 stems per square foot</t>
  </si>
  <si>
    <r>
      <t xml:space="preserve">- Vegetal Cover Factor = 0.5 </t>
    </r>
    <r>
      <rPr>
        <i/>
        <sz val="11"/>
        <color theme="1"/>
        <rFont val="Calibri"/>
        <family val="2"/>
        <scheme val="minor"/>
      </rPr>
      <t>(representative of typical annual crop stubble)</t>
    </r>
  </si>
  <si>
    <t>- Gully geometry is parabolic</t>
  </si>
  <si>
    <t>Waterway Wizard Maximum Bed Slopes Table - Erosion Resistant Soil in Gully w/ Cover Crops</t>
  </si>
  <si>
    <t>Waterway Wizard Maximum Bed Slopes Table - Erodible Soil in Gully w/ Cover Crops</t>
  </si>
  <si>
    <t>Waterway Wizard Maximum Bed Slopes Table - Erosion Resistant Soil in Gully w/ Clean Tillage</t>
  </si>
  <si>
    <t>Mannings "n" =</t>
  </si>
  <si>
    <t>(Less than 10% residue cover)</t>
  </si>
  <si>
    <t>Waterway Wizard Maximum Bed Slopes Table - Erodible Soil in Gully w/ Clean Tillage</t>
  </si>
  <si>
    <t>NO COVER CROPS PRESENT</t>
  </si>
  <si>
    <t>Waterway Wizard Maximum Bed Slopes Table - Erosion Resistant Soil in Gully w/ Conventional Tillage</t>
  </si>
  <si>
    <t>Waterway Wizard Maximum Bed Slopes Table - Erodible Soil in Gully w/ Conventional Tillage</t>
  </si>
  <si>
    <t>Waterway Wizard Maximum Bed Slopes Table - Erosion Resistant Soil in Gully w/ Mulch Tillage</t>
  </si>
  <si>
    <t>Waterway Wizard Maximum Bed Slopes Table - Erodible Soil in Gully w/ Mulch Tillage</t>
  </si>
  <si>
    <t>(10% - 35% Residue Cover)</t>
  </si>
  <si>
    <t>(35% - 70% Residue Cover)</t>
  </si>
  <si>
    <t>(&gt; 70% Residue Cover)</t>
  </si>
  <si>
    <t>Waterway Wizard Maximum Bed Slopes Table - Erosion Resistant Soil in Gully w/ No-Till</t>
  </si>
  <si>
    <t>Waterway Wizard Maximum Bed Slopes Table - Erodible Soil in Gully w/ No-Till</t>
  </si>
  <si>
    <t>(No growing/rooted vegetation)</t>
  </si>
  <si>
    <r>
      <rPr>
        <u/>
        <sz val="11"/>
        <color theme="1"/>
        <rFont val="Calibri"/>
        <family val="2"/>
        <scheme val="minor"/>
      </rPr>
      <t>Input Assumptions</t>
    </r>
    <r>
      <rPr>
        <sz val="11"/>
        <color theme="1"/>
        <rFont val="Calibri"/>
        <family val="2"/>
        <scheme val="minor"/>
      </rPr>
      <t xml:space="preserve"> (See NEH Part 650, Engineering Field Handbook, Chapter 7, Grassed Waterways, for descriptions of terms and their use in calculations)</t>
    </r>
  </si>
  <si>
    <r>
      <t xml:space="preserve">- Vegetal Cover Factor = 0.0 </t>
    </r>
    <r>
      <rPr>
        <i/>
        <sz val="11"/>
        <color theme="1"/>
        <rFont val="Calibri"/>
        <family val="2"/>
        <scheme val="minor"/>
      </rPr>
      <t>(No growing/rooted vegetation present)</t>
    </r>
  </si>
  <si>
    <r>
      <t>- Mannings "n" value (</t>
    </r>
    <r>
      <rPr>
        <i/>
        <sz val="11"/>
        <color theme="1"/>
        <rFont val="Calibri"/>
        <family val="2"/>
        <scheme val="minor"/>
      </rPr>
      <t>within concentrated flow area</t>
    </r>
    <r>
      <rPr>
        <sz val="11"/>
        <color theme="1"/>
        <rFont val="Calibri"/>
        <family val="2"/>
        <scheme val="minor"/>
      </rPr>
      <t>) = 0.015 (</t>
    </r>
    <r>
      <rPr>
        <i/>
        <sz val="11"/>
        <color theme="1"/>
        <rFont val="Calibri"/>
        <family val="2"/>
        <scheme val="minor"/>
      </rPr>
      <t>representative of clean tillage with little-to-no residue</t>
    </r>
    <r>
      <rPr>
        <sz val="11"/>
        <color theme="1"/>
        <rFont val="Calibri"/>
        <family val="2"/>
        <scheme val="minor"/>
      </rPr>
      <t>)</t>
    </r>
  </si>
  <si>
    <r>
      <t>- Mannings "n" value (</t>
    </r>
    <r>
      <rPr>
        <i/>
        <sz val="11"/>
        <color theme="1"/>
        <rFont val="Calibri"/>
        <family val="2"/>
        <scheme val="minor"/>
      </rPr>
      <t>within concentrated flow area</t>
    </r>
    <r>
      <rPr>
        <sz val="11"/>
        <color theme="1"/>
        <rFont val="Calibri"/>
        <family val="2"/>
        <scheme val="minor"/>
      </rPr>
      <t>) = 0.025 (</t>
    </r>
    <r>
      <rPr>
        <i/>
        <sz val="11"/>
        <color theme="1"/>
        <rFont val="Calibri"/>
        <family val="2"/>
        <scheme val="minor"/>
      </rPr>
      <t>representative of conventional fall/spring tillage with 10%-35% residue</t>
    </r>
    <r>
      <rPr>
        <sz val="11"/>
        <color theme="1"/>
        <rFont val="Calibri"/>
        <family val="2"/>
        <scheme val="minor"/>
      </rPr>
      <t>)</t>
    </r>
  </si>
  <si>
    <r>
      <rPr>
        <b/>
        <u/>
        <sz val="11"/>
        <color theme="1"/>
        <rFont val="Calibri"/>
        <family val="2"/>
        <scheme val="minor"/>
      </rPr>
      <t>Erodible Soil</t>
    </r>
    <r>
      <rPr>
        <sz val="11"/>
        <color theme="1"/>
        <rFont val="Calibri"/>
        <family val="2"/>
        <scheme val="minor"/>
      </rPr>
      <t xml:space="preserve"> in Flow Area </t>
    </r>
    <r>
      <rPr>
        <i/>
        <sz val="11"/>
        <color theme="1"/>
        <rFont val="Calibri"/>
        <family val="2"/>
        <scheme val="minor"/>
      </rPr>
      <t xml:space="preserve">(Max. Soil Stress = 0.03 psf) </t>
    </r>
    <r>
      <rPr>
        <i/>
        <vertAlign val="superscript"/>
        <sz val="11"/>
        <color theme="1"/>
        <rFont val="Calibri"/>
        <family val="2"/>
        <scheme val="minor"/>
      </rPr>
      <t>1</t>
    </r>
  </si>
  <si>
    <t>Maximum Stable Flow Area Bed Slopes with No Treatment and Clean Tillage (&lt; 10% Residue Cover)</t>
  </si>
  <si>
    <t>Maximum Stable Flow Area Bed Slopes with No Treatment and Conventional Tillage (10% - 35% Residue Cover)</t>
  </si>
  <si>
    <r>
      <t>- Mannings "n" value (</t>
    </r>
    <r>
      <rPr>
        <i/>
        <sz val="11"/>
        <color theme="1"/>
        <rFont val="Calibri"/>
        <family val="2"/>
        <scheme val="minor"/>
      </rPr>
      <t>within concentrated flow area</t>
    </r>
    <r>
      <rPr>
        <sz val="11"/>
        <color theme="1"/>
        <rFont val="Calibri"/>
        <family val="2"/>
        <scheme val="minor"/>
      </rPr>
      <t>) = 0.040 (</t>
    </r>
    <r>
      <rPr>
        <i/>
        <sz val="11"/>
        <color theme="1"/>
        <rFont val="Calibri"/>
        <family val="2"/>
        <scheme val="minor"/>
      </rPr>
      <t>representative of mimimal/mulch tillage with 35%-70% residue</t>
    </r>
    <r>
      <rPr>
        <sz val="11"/>
        <color theme="1"/>
        <rFont val="Calibri"/>
        <family val="2"/>
        <scheme val="minor"/>
      </rPr>
      <t>)</t>
    </r>
  </si>
  <si>
    <r>
      <t>- Mannings "n" value (</t>
    </r>
    <r>
      <rPr>
        <i/>
        <sz val="11"/>
        <color theme="1"/>
        <rFont val="Calibri"/>
        <family val="2"/>
        <scheme val="minor"/>
      </rPr>
      <t>within concentrated flow area</t>
    </r>
    <r>
      <rPr>
        <sz val="11"/>
        <color theme="1"/>
        <rFont val="Calibri"/>
        <family val="2"/>
        <scheme val="minor"/>
      </rPr>
      <t>) = 0.060 (</t>
    </r>
    <r>
      <rPr>
        <i/>
        <sz val="11"/>
        <color theme="1"/>
        <rFont val="Calibri"/>
        <family val="2"/>
        <scheme val="minor"/>
      </rPr>
      <t>representative of no-till with &gt;70% residue</t>
    </r>
    <r>
      <rPr>
        <sz val="11"/>
        <color theme="1"/>
        <rFont val="Calibri"/>
        <family val="2"/>
        <scheme val="minor"/>
      </rPr>
      <t>)</t>
    </r>
  </si>
  <si>
    <t>County</t>
  </si>
  <si>
    <t>BOONE</t>
  </si>
  <si>
    <t>BUTLER</t>
  </si>
  <si>
    <t>CASS</t>
  </si>
  <si>
    <t>CEDAR</t>
  </si>
  <si>
    <t>CLAY</t>
  </si>
  <si>
    <t>DOUGLAS</t>
  </si>
  <si>
    <t>FRANKLIN</t>
  </si>
  <si>
    <t>HOLT</t>
  </si>
  <si>
    <t>HOWARD</t>
  </si>
  <si>
    <t>JEFFERSON</t>
  </si>
  <si>
    <t>JOHNSON</t>
  </si>
  <si>
    <t>KNOX</t>
  </si>
  <si>
    <t>LINCOLN</t>
  </si>
  <si>
    <t>MADISON</t>
  </si>
  <si>
    <t>PHELPS</t>
  </si>
  <si>
    <t>PLATTE</t>
  </si>
  <si>
    <t>POLK</t>
  </si>
  <si>
    <t>SALINE</t>
  </si>
  <si>
    <t>WASHINGTON</t>
  </si>
  <si>
    <t>WAYNE</t>
  </si>
  <si>
    <t>WEBSTER</t>
  </si>
  <si>
    <t>Feet</t>
  </si>
  <si>
    <t>Watershed Length</t>
  </si>
  <si>
    <t>Time of Concentration</t>
  </si>
  <si>
    <t>Hours</t>
  </si>
  <si>
    <t>Unit peak discharge</t>
  </si>
  <si>
    <t>cfs/ac/in</t>
  </si>
  <si>
    <t>Type</t>
  </si>
  <si>
    <t>Ia/P</t>
  </si>
  <si>
    <t>C0</t>
  </si>
  <si>
    <t>C1</t>
  </si>
  <si>
    <t>C2</t>
  </si>
  <si>
    <t>II</t>
  </si>
  <si>
    <t>IaP</t>
  </si>
  <si>
    <t>log(qu)</t>
  </si>
  <si>
    <t>Row 2</t>
  </si>
  <si>
    <t>Row 1</t>
  </si>
  <si>
    <t>inches</t>
  </si>
  <si>
    <t>Year - 24 Hour Rain Fall Amount</t>
  </si>
  <si>
    <t>Frequency col</t>
  </si>
  <si>
    <t>inches of runoff</t>
  </si>
  <si>
    <t>System</t>
  </si>
  <si>
    <t>Hydrologic Group</t>
  </si>
  <si>
    <t>A</t>
  </si>
  <si>
    <t>B</t>
  </si>
  <si>
    <t>C</t>
  </si>
  <si>
    <t>Clean</t>
  </si>
  <si>
    <t>Conventional</t>
  </si>
  <si>
    <t>Mulch</t>
  </si>
  <si>
    <t>No-Till</t>
  </si>
  <si>
    <t>Drainage Area</t>
  </si>
  <si>
    <t>Frequency</t>
  </si>
  <si>
    <t>acre</t>
  </si>
  <si>
    <t>%</t>
  </si>
  <si>
    <t>Cropping System</t>
  </si>
  <si>
    <t>Clean Till</t>
  </si>
  <si>
    <t>Conventional Till</t>
  </si>
  <si>
    <t>Tc</t>
  </si>
  <si>
    <t>Row1</t>
  </si>
  <si>
    <t>Row2</t>
  </si>
  <si>
    <t>Runoff Depth</t>
  </si>
  <si>
    <t>Peak Discharge</t>
  </si>
  <si>
    <t>Completed By:</t>
  </si>
  <si>
    <t>Cooperator:</t>
  </si>
  <si>
    <t>Date:</t>
  </si>
  <si>
    <t>Tract:</t>
  </si>
  <si>
    <t>Field:</t>
  </si>
  <si>
    <t>Office:</t>
  </si>
  <si>
    <t>inch</t>
  </si>
  <si>
    <t>Actual Bed Slope at Gully Location</t>
  </si>
  <si>
    <t>Soil Map Unit</t>
  </si>
  <si>
    <t>TW Choices</t>
  </si>
  <si>
    <t>Maximum Allowable Bed Slope</t>
  </si>
  <si>
    <t>Runoff Curve Number</t>
  </si>
  <si>
    <t>Cover Crop</t>
  </si>
  <si>
    <t>ADAMS</t>
  </si>
  <si>
    <t>ANTELOPE</t>
  </si>
  <si>
    <t>ARTHUR</t>
  </si>
  <si>
    <t>BANNER</t>
  </si>
  <si>
    <t>BLAINE</t>
  </si>
  <si>
    <t>BOX BUTTE</t>
  </si>
  <si>
    <t>BOYD</t>
  </si>
  <si>
    <t>BROWN</t>
  </si>
  <si>
    <t>BUFFALO</t>
  </si>
  <si>
    <t>BURT</t>
  </si>
  <si>
    <t>CHASE</t>
  </si>
  <si>
    <t>CHERRY</t>
  </si>
  <si>
    <t>CHEYENNE</t>
  </si>
  <si>
    <t>COLFAX</t>
  </si>
  <si>
    <t>CUMING</t>
  </si>
  <si>
    <t>CUSTER</t>
  </si>
  <si>
    <t>DAKOTA</t>
  </si>
  <si>
    <t>DAWES</t>
  </si>
  <si>
    <t>DAWSON</t>
  </si>
  <si>
    <t>DEUEL</t>
  </si>
  <si>
    <t>DIXON</t>
  </si>
  <si>
    <t>DODGE</t>
  </si>
  <si>
    <t>DUNDY</t>
  </si>
  <si>
    <t>FILLMORE</t>
  </si>
  <si>
    <t>FRONTIER</t>
  </si>
  <si>
    <t>FURNAS</t>
  </si>
  <si>
    <t>GAGE</t>
  </si>
  <si>
    <t>GARDEN</t>
  </si>
  <si>
    <t>GARFIELD</t>
  </si>
  <si>
    <t>GOSPER</t>
  </si>
  <si>
    <t>GRANT</t>
  </si>
  <si>
    <t>GREELEY</t>
  </si>
  <si>
    <t>HALL</t>
  </si>
  <si>
    <t>HAMILTON</t>
  </si>
  <si>
    <t>HARLAN</t>
  </si>
  <si>
    <t>HAYES</t>
  </si>
  <si>
    <t>HITCHCOCK</t>
  </si>
  <si>
    <t>HOOKER</t>
  </si>
  <si>
    <t>KEARNEY</t>
  </si>
  <si>
    <t>KEITH</t>
  </si>
  <si>
    <t>KEYA PAHA</t>
  </si>
  <si>
    <t>KIMBALL</t>
  </si>
  <si>
    <t>LANCASTER</t>
  </si>
  <si>
    <t>LOGAN</t>
  </si>
  <si>
    <t>LOUP</t>
  </si>
  <si>
    <t>MCPHERSON</t>
  </si>
  <si>
    <t>MERRICK</t>
  </si>
  <si>
    <t>MORRILL</t>
  </si>
  <si>
    <t>NANCE</t>
  </si>
  <si>
    <t>NEMAHA</t>
  </si>
  <si>
    <t>NUCKOLLS</t>
  </si>
  <si>
    <t>OTOE</t>
  </si>
  <si>
    <t>PAWNEE</t>
  </si>
  <si>
    <t>PERKINS</t>
  </si>
  <si>
    <t>PIERCE</t>
  </si>
  <si>
    <t>RED WILLOW</t>
  </si>
  <si>
    <t>RICHARDSON</t>
  </si>
  <si>
    <t>ROCK</t>
  </si>
  <si>
    <t>SARPY</t>
  </si>
  <si>
    <t>SAUNDERS</t>
  </si>
  <si>
    <t>SCOTTS BLUFF</t>
  </si>
  <si>
    <t>SEWARD</t>
  </si>
  <si>
    <t>SHERIDAN</t>
  </si>
  <si>
    <t>SHERMAN</t>
  </si>
  <si>
    <t>SIOUX</t>
  </si>
  <si>
    <t>STANTON</t>
  </si>
  <si>
    <t>THAYER</t>
  </si>
  <si>
    <t>THOMAS</t>
  </si>
  <si>
    <t>THURSTON</t>
  </si>
  <si>
    <t>VALLEY</t>
  </si>
  <si>
    <t>WHEELER</t>
  </si>
  <si>
    <t>YORK</t>
  </si>
  <si>
    <t>Ave Watershed Slope</t>
  </si>
  <si>
    <t>Watershed Cropping System (from Above)</t>
  </si>
  <si>
    <t>Gully Treatment</t>
  </si>
  <si>
    <r>
      <t>Cover crop stem height = 6 inches; Cover crop stem density = 30 stems per square foot; Vegetal Cover Factor = 0.5</t>
    </r>
    <r>
      <rPr>
        <i/>
        <sz val="11"/>
        <color theme="1"/>
        <rFont val="Calibri"/>
        <family val="2"/>
        <scheme val="minor"/>
      </rPr>
      <t xml:space="preserve"> (representative of typical annual crop stubble</t>
    </r>
    <r>
      <rPr>
        <sz val="11"/>
        <color theme="1"/>
        <rFont val="Calibri"/>
        <family val="2"/>
        <scheme val="minor"/>
      </rPr>
      <t>)</t>
    </r>
  </si>
  <si>
    <r>
      <t>Mannings "n" value (</t>
    </r>
    <r>
      <rPr>
        <i/>
        <sz val="11"/>
        <color theme="1"/>
        <rFont val="Calibri"/>
        <family val="2"/>
        <scheme val="minor"/>
      </rPr>
      <t>within concentrated flow area</t>
    </r>
    <r>
      <rPr>
        <sz val="11"/>
        <color theme="1"/>
        <rFont val="Calibri"/>
        <family val="2"/>
        <scheme val="minor"/>
      </rPr>
      <t>) = 0.015 (</t>
    </r>
    <r>
      <rPr>
        <i/>
        <sz val="11"/>
        <color theme="1"/>
        <rFont val="Calibri"/>
        <family val="2"/>
        <scheme val="minor"/>
      </rPr>
      <t>representative of clean tillage with little-to-no residue</t>
    </r>
    <r>
      <rPr>
        <sz val="11"/>
        <color theme="1"/>
        <rFont val="Calibri"/>
        <family val="2"/>
        <scheme val="minor"/>
      </rPr>
      <t>); Vegetal Cover Factor = 0.0 (no growing/rooted veg.)</t>
    </r>
  </si>
  <si>
    <r>
      <t>Mannings "n" value (</t>
    </r>
    <r>
      <rPr>
        <i/>
        <sz val="11"/>
        <color theme="1"/>
        <rFont val="Calibri"/>
        <family val="2"/>
        <scheme val="minor"/>
      </rPr>
      <t>within concentrated flow area</t>
    </r>
    <r>
      <rPr>
        <sz val="11"/>
        <color theme="1"/>
        <rFont val="Calibri"/>
        <family val="2"/>
        <scheme val="minor"/>
      </rPr>
      <t>) = 0.025 (</t>
    </r>
    <r>
      <rPr>
        <i/>
        <sz val="11"/>
        <color theme="1"/>
        <rFont val="Calibri"/>
        <family val="2"/>
        <scheme val="minor"/>
      </rPr>
      <t>representative of conventional fall/spring tillage with 10%-35% residue</t>
    </r>
    <r>
      <rPr>
        <sz val="11"/>
        <color theme="1"/>
        <rFont val="Calibri"/>
        <family val="2"/>
        <scheme val="minor"/>
      </rPr>
      <t>); Vegetal Cover Factor = 0.0 (no growing/rooted veg.)</t>
    </r>
  </si>
  <si>
    <r>
      <t>Mannings "n" value (</t>
    </r>
    <r>
      <rPr>
        <i/>
        <sz val="11"/>
        <color theme="1"/>
        <rFont val="Calibri"/>
        <family val="2"/>
        <scheme val="minor"/>
      </rPr>
      <t>within concentrated flow area</t>
    </r>
    <r>
      <rPr>
        <sz val="11"/>
        <color theme="1"/>
        <rFont val="Calibri"/>
        <family val="2"/>
        <scheme val="minor"/>
      </rPr>
      <t>) = 0.040 (</t>
    </r>
    <r>
      <rPr>
        <i/>
        <sz val="11"/>
        <color theme="1"/>
        <rFont val="Calibri"/>
        <family val="2"/>
        <scheme val="minor"/>
      </rPr>
      <t>representative of mimimal/mulch tillage with 35%-70% residue</t>
    </r>
    <r>
      <rPr>
        <sz val="11"/>
        <color theme="1"/>
        <rFont val="Calibri"/>
        <family val="2"/>
        <scheme val="minor"/>
      </rPr>
      <t>); Vegetal Cover Factor = 0.0 (no growing/rooted veg.)</t>
    </r>
  </si>
  <si>
    <r>
      <t>Mannings "n" value (</t>
    </r>
    <r>
      <rPr>
        <i/>
        <sz val="11"/>
        <color theme="1"/>
        <rFont val="Calibri"/>
        <family val="2"/>
        <scheme val="minor"/>
      </rPr>
      <t>within concentrated flow area</t>
    </r>
    <r>
      <rPr>
        <sz val="11"/>
        <color theme="1"/>
        <rFont val="Calibri"/>
        <family val="2"/>
        <scheme val="minor"/>
      </rPr>
      <t>) = 0.060 (</t>
    </r>
    <r>
      <rPr>
        <i/>
        <sz val="11"/>
        <color theme="1"/>
        <rFont val="Calibri"/>
        <family val="2"/>
        <scheme val="minor"/>
      </rPr>
      <t>representative of no-till with &gt;70% residue</t>
    </r>
    <r>
      <rPr>
        <sz val="11"/>
        <color theme="1"/>
        <rFont val="Calibri"/>
        <family val="2"/>
        <scheme val="minor"/>
      </rPr>
      <t>); Vegetal Cover Factor = 0.0 (no growing/rooted veg.)</t>
    </r>
  </si>
  <si>
    <t>Gully Treatment Option (Select)</t>
  </si>
  <si>
    <t>Watershed Peak Discharge into Gully</t>
  </si>
  <si>
    <t>Watershed Cropping System (Select)</t>
  </si>
  <si>
    <t>Refer to the following National Engineering Handbook, Part 650, Engineering Field Handbook chapters and amendments for explanation of input assumptions, descriptions of terms, and their use in calculations:
- Chapter 2, Estimating Runoff
- Chapter 7, Grassed Waterways
- Nebraska Admendment to Chapter 7, "Soil Erodibility Categories for Nebraska Soils"</t>
  </si>
  <si>
    <t>Mulch Till / Low Res. No-Till</t>
  </si>
  <si>
    <t>High Res. No-Till</t>
  </si>
  <si>
    <t>Maximum Stable Flow Area Bed Slopes with No Treatment and Mulch Tillage or Low Residue No-Till (35% - 50% Residue Cover)</t>
  </si>
  <si>
    <t>Maximum Stable Flow Area Bed Slopes with No Treatment and No-Till (&gt; 50% Residue Cover)</t>
  </si>
  <si>
    <t>Gully Section Top Width @ 0.5' Depth (Select)</t>
  </si>
  <si>
    <t>Maximum Allowable Gully Bed Slope, (percent)</t>
  </si>
  <si>
    <t>10' Topwidth</t>
  </si>
  <si>
    <t>15' Topwidth</t>
  </si>
  <si>
    <t>20' Topwidth</t>
  </si>
  <si>
    <r>
      <t xml:space="preserve">(Assumed to be parabolic)
</t>
    </r>
    <r>
      <rPr>
        <b/>
        <sz val="11"/>
        <color theme="1"/>
        <rFont val="Calibri"/>
        <family val="2"/>
        <scheme val="minor"/>
      </rPr>
      <t>Measure flow depth and top width of concentrated flow area as though gully were NOT present.</t>
    </r>
  </si>
  <si>
    <t>Maximum Stable Bed Slope (Top Width measured at 0.5 feet of depth)</t>
  </si>
  <si>
    <t>Soil Erodibility at Gully Location (Select)</t>
  </si>
  <si>
    <t>Erosion Resistant</t>
  </si>
  <si>
    <t>Erodible</t>
  </si>
  <si>
    <t>Ephemeral Gully Modeling Tool v. 2, 2017-8-21</t>
  </si>
  <si>
    <t>Very Erosion Resistant</t>
  </si>
  <si>
    <t>Easily Eroded</t>
  </si>
  <si>
    <r>
      <rPr>
        <b/>
        <u/>
        <sz val="11"/>
        <color theme="1"/>
        <rFont val="Calibri"/>
        <family val="2"/>
        <scheme val="minor"/>
      </rPr>
      <t>Erodible Soil</t>
    </r>
    <r>
      <rPr>
        <sz val="11"/>
        <color theme="1"/>
        <rFont val="Calibri"/>
        <family val="2"/>
        <scheme val="minor"/>
      </rPr>
      <t xml:space="preserve"> in Flow Area 
</t>
    </r>
    <r>
      <rPr>
        <i/>
        <sz val="11"/>
        <color theme="1"/>
        <rFont val="Calibri"/>
        <family val="2"/>
        <scheme val="minor"/>
      </rPr>
      <t>(Max. Soil Stress = 0.03 psf)</t>
    </r>
  </si>
  <si>
    <t xml:space="preserve"> </t>
  </si>
  <si>
    <r>
      <rPr>
        <b/>
        <u/>
        <sz val="11"/>
        <color theme="1"/>
        <rFont val="Calibri"/>
        <family val="2"/>
        <scheme val="minor"/>
      </rPr>
      <t xml:space="preserve">Erosion Resistant or Very Erosion Resistant  Soil
</t>
    </r>
    <r>
      <rPr>
        <sz val="11"/>
        <color theme="1"/>
        <rFont val="Calibri"/>
        <family val="2"/>
        <scheme val="minor"/>
      </rPr>
      <t xml:space="preserve">in Flow Area 
</t>
    </r>
    <r>
      <rPr>
        <i/>
        <sz val="11"/>
        <color theme="1"/>
        <rFont val="Calibri"/>
        <family val="2"/>
        <scheme val="minor"/>
      </rPr>
      <t>(Max. Soil Stress = 0.05 psf)</t>
    </r>
  </si>
  <si>
    <r>
      <rPr>
        <b/>
        <u/>
        <sz val="11"/>
        <color theme="1"/>
        <rFont val="Calibri"/>
        <family val="2"/>
        <scheme val="minor"/>
      </rPr>
      <t xml:space="preserve">Erosion Resistant or Very Erosion Resistant Soil
</t>
    </r>
    <r>
      <rPr>
        <sz val="11"/>
        <color theme="1"/>
        <rFont val="Calibri"/>
        <family val="2"/>
        <scheme val="minor"/>
      </rPr>
      <t xml:space="preserve">in Flow Area 
</t>
    </r>
    <r>
      <rPr>
        <i/>
        <sz val="11"/>
        <color theme="1"/>
        <rFont val="Calibri"/>
        <family val="2"/>
        <scheme val="minor"/>
      </rPr>
      <t>(Max. Soil Stress = 0.05 psf)</t>
    </r>
  </si>
  <si>
    <t>Soil Erodibility List</t>
  </si>
  <si>
    <t>This tool does not evaluate Easily Eroded soils.  A field visit and on site evaluation must be completed to determine the appropriate level of planning for concentrated flow erosion.</t>
  </si>
  <si>
    <t>General:</t>
  </si>
  <si>
    <r>
      <t xml:space="preserve">This spreadsheet tool is intended to be a quick analysis tool to determine if residue  management practices or cover crops alone will prevent ephemeral gully erosion from occurring. </t>
    </r>
    <r>
      <rPr>
        <b/>
        <sz val="10"/>
        <color indexed="8"/>
        <rFont val="Arial"/>
        <family val="1"/>
        <charset val="204"/>
      </rPr>
      <t>This tool is not to be used for any engineering design applications.</t>
    </r>
  </si>
  <si>
    <t>The tool and tables provide the user with maximum concentrated flow area bed slopes that can withstand a given 24-hour storm runoff peak discharge.  Maximum bed slopes are determined based on allowable soil tractive stress for the soil type within the concentrated flow area being evaluated.  Basically, the tool answers the question “How steep can a concentrated flow area treated with residue or cover crops get before soil is displaced?”.</t>
  </si>
  <si>
    <t>If the concentrated flow area bed slope measured in the field exceeds the maximum allowable slope identified in the tool, based on cover conditions in both the watershed and the concentrated flow area, a gully is likely to occur during the chosen 24-hour rainfall event.</t>
  </si>
  <si>
    <t>The tool allows for the analysis of a concentrated flow area treatment separate from the watershed treatment.  For example, the watershed may be a mulch till cropping system, while the concentrated flow area may be treated with a cover crop.</t>
  </si>
  <si>
    <t>Tool results are generated based on selectable user inputs (either entered directly or selected from a list).</t>
  </si>
  <si>
    <t>Calculation of the correct peak discharge for the watershed being evaluated requires that the user have the following information at hand:</t>
  </si>
  <si>
    <t>1.    Drainage area (watershed) contributing to the gully.
2.    Average watershed slope.
3.    Soils inventory.
4.    Hydrologic Soil Group(s) (HSG) present in the watershed.  If more than one HSG is present, use the predominant one.  If none are predominant, use the HSG that will result in the conservative highest RCN.
5.    Watershed cropping system (clean tillage, conventional tillage, mulch tillage, no-till, or cover crop).
6.    Slope of the concentrated flow area (bed slope)</t>
  </si>
  <si>
    <t>https://efotg.sc.egov.usda.gov/references/public/NE/Erosion_Category_for_Nebraska_Soils.pdf</t>
  </si>
  <si>
    <t>Version 2 removed soil textural/USCS classification selection dropdown and comment popup (4 choices – “CH”, “CL”, “ML” or “SM”), and replaced with soil erodibility category selection dropdown(Very Erosion Resistant, Erosion Resistant, Erodible &amp; Easily Eroded). There are too many instances of CL/ML silt loams being “erosion resistant” and CL silty clay loams being “erodible”. Users need to refer to NE Amendment 45 of the NEH-650, Engineering Field Handbook, Chapter 7, Grassed Waterways, “Soil Erodibility Categories for Nebraska Soils”, available via the eFOTG, Section I, Reference Lists, Engineering, NEH-650 (EFH) Amendments Index, or at the following link. The amendment explains step-by-step how to use Web Soil Survey to generate a county-wide list of soil erodibility categories for all soils in the county.</t>
  </si>
  <si>
    <r>
      <rPr>
        <b/>
        <sz val="10"/>
        <color indexed="8"/>
        <rFont val="Arial"/>
        <family val="1"/>
        <charset val="204"/>
      </rPr>
      <t xml:space="preserve">Analyzing concentrated flow areas:
</t>
    </r>
    <r>
      <rPr>
        <sz val="10"/>
        <color indexed="8"/>
        <rFont val="Arial"/>
        <family val="1"/>
        <charset val="204"/>
      </rPr>
      <t xml:space="preserve">Analysis begins with identification of concentrated flow areas within the treatment unit.  This can be done in the office using aerial photography and LiDAR hillshade initially, but should be verified in the field.  Any area of concentrated flow can potentially become an ephemeral gully. The higher risk concentrated flow areas will generally be characterized by narrow channels with limited capacity and/or low residue conditions.  Field analysis of concentrated flow features might begin with the lower tolerance areas, because this may allow the user to eliminate some of the medium and higher tolerance areas from consideration by comparison.  Surface residue conditions are determined using RUSLE2 based on residue available at the time of planting using the worst-case year of the planned crop sequence including the sodbuster year, if applicable.  If a significant area of land-leveling or shaping has occurred in a concentrated flow area such that virtually all vegetation and topsoil has been removed it is recommended that a higher RCN be used to represent the drainage area.
</t>
    </r>
  </si>
  <si>
    <t>The point within a concentrated flow area where slope and channel capacity characteristics should be determined is subject to interpretation based on what is typical for the channel while achieving as much as possible a balance between maximum slope and maximum drainage area.
Refer to the example illustrations below regarding how to choose the point of analysis on a gradient.</t>
  </si>
  <si>
    <r>
      <t xml:space="preserve">Typically, not every concentrated flow feature within the treatment unit will need to be analyzed. In many cases, especially as experience is gained, it will be obvious that some concentrated flow features have a combination of slope and channel capacity that lend to a quick determination.
Caveat:  This tool is based on a series of assumptions that drive both the calculation of peak discharge and the calculation of maximum allowable slope.  The user should review and become familiar with the assumptions made (refer to the </t>
    </r>
    <r>
      <rPr>
        <b/>
        <sz val="10"/>
        <color indexed="8"/>
        <rFont val="Arial"/>
        <family val="1"/>
        <charset val="204"/>
      </rPr>
      <t xml:space="preserve">Assumptions tab).
</t>
    </r>
    <r>
      <rPr>
        <sz val="10"/>
        <color indexed="8"/>
        <rFont val="Arial"/>
        <family val="1"/>
        <charset val="204"/>
      </rPr>
      <t xml:space="preserve">If, on a given treatment unit, the site conditions clearly do not reflect the assumptions used in the tool, </t>
    </r>
    <r>
      <rPr>
        <b/>
        <sz val="10"/>
        <color rgb="FF000000"/>
        <rFont val="Arial"/>
        <family val="2"/>
      </rPr>
      <t>then a site-specific analysis should be performed using the appropriate methodology and software programs and inputs (i.e. EFH Chapter 2 formulas/figures, EFH-2 software, EFH Chapter 7 formulas/tables, Engineering Field Tools Waterway Wizard, etc.).</t>
    </r>
  </si>
  <si>
    <r>
      <t xml:space="preserve">The appropriate maximum slope results for the site being evaluated depend on the soil erodibility category </t>
    </r>
    <r>
      <rPr>
        <strike/>
        <u/>
        <sz val="10"/>
        <color indexed="8"/>
        <rFont val="Arial"/>
        <family val="2"/>
      </rPr>
      <t>within the concentrated flow area</t>
    </r>
    <r>
      <rPr>
        <strike/>
        <sz val="10"/>
        <color indexed="8"/>
        <rFont val="Arial"/>
        <family val="2"/>
      </rPr>
      <t xml:space="preserve">. </t>
    </r>
    <r>
      <rPr>
        <strike/>
        <sz val="10"/>
        <color rgb="FF000000"/>
        <rFont val="Arial"/>
        <family val="2"/>
      </rPr>
      <t xml:space="preserve"> Refer to the NEH 650 EFH Chapter 7 Amendment – “Soil Erodibility Categories for Nebraska Soils”.  Clays with USCS classification of CL or CH (Low Plastic or High Plastic Clays) </t>
    </r>
    <r>
      <rPr>
        <b/>
        <strike/>
        <sz val="10"/>
        <color rgb="FF000000"/>
        <rFont val="Arial"/>
        <family val="2"/>
      </rPr>
      <t>are typically considered</t>
    </r>
    <r>
      <rPr>
        <strike/>
        <sz val="10"/>
        <color rgb="FF000000"/>
        <rFont val="Arial"/>
        <family val="2"/>
      </rPr>
      <t xml:space="preserve"> “Erosion Resistant” soils (with an allowable maximum soil stress of 0.05 lbs/sq.ft.).  Silt Loams and Sandy Loams with  USCS classification of ML or SM </t>
    </r>
    <r>
      <rPr>
        <b/>
        <strike/>
        <sz val="10"/>
        <color rgb="FF000000"/>
        <rFont val="Arial"/>
        <family val="2"/>
      </rPr>
      <t>are typically considered</t>
    </r>
    <r>
      <rPr>
        <strike/>
        <sz val="10"/>
        <color rgb="FF000000"/>
        <rFont val="Arial"/>
        <family val="2"/>
      </rPr>
      <t xml:space="preserve"> “Erodible” soils (with an allowable maximum soil stress of 0.03 lbs/sq.ft.).  Soils that are categorized as “Very Erosion Resistant” should be conservatively analyzed as “Erosion Resistant”.  </t>
    </r>
    <r>
      <rPr>
        <b/>
        <strike/>
        <sz val="10"/>
        <color rgb="FF000000"/>
        <rFont val="Arial"/>
        <family val="2"/>
      </rPr>
      <t>There are instances of silt loam soils falling into the “Erosion Resistant” category and silty clay loams falling into the “Erodible” category, which is why the erodibility category must be verified. The tool should not be used for for sands categorized as “Easily Eroded”.</t>
    </r>
  </si>
  <si>
    <t>Hydrologic Soil Group(s)</t>
  </si>
  <si>
    <t>Version 2 also removed evaluation of “Easily Eroded” soils, so a comment pops up, the maximum bed slope goes to "N/A!" and all table data disappears when “Easily Eroded” is selected.</t>
  </si>
  <si>
    <r>
      <t xml:space="preserve">Channel geometry used in the tool is assumed to be parabolic, with the intention that the top width can be determined visually in the field without the need for precise surveying.  Flow area top width should be measured at a depth of 0.5 feet, and confirmed in the field whenever possible.  Is the flow area narrow and incised, or is it broad and shallow in nature?
Note: Measure the top width at a depth of 0.5 feet in the concentrated flow area as though the gully is NOT present. </t>
    </r>
    <r>
      <rPr>
        <sz val="10"/>
        <color rgb="FF0070C0"/>
        <rFont val="Arial"/>
        <family val="2"/>
      </rPr>
      <t>Version 2 removed all references to variable flow depths in the flow area and require measurements be taken at 0.5 feet depth.</t>
    </r>
    <r>
      <rPr>
        <sz val="10"/>
        <color indexed="8"/>
        <rFont val="Arial"/>
        <family val="1"/>
        <charset val="204"/>
      </rPr>
      <t xml:space="preserve">
Drainage areas and watershed average slopes should be determined utilizing established methods (aerial photography, ArcMap tools, GPS, etc.).</t>
    </r>
  </si>
  <si>
    <t>Additional Version 2 upgrades</t>
  </si>
  <si>
    <t>When the county is selected for the field worksheet, all tables throughout the workbook (Cover Crop, Conventional Tillage, Mulch Tillage, No-Till) reflect that county selection. The user doesn’t have to remember to select/update the county for each table. The runoff curve number, watershed acres and average watershed slope can still be edited.</t>
  </si>
  <si>
    <t>Added conditional formatting to the field worksheet that highlights/clarifies and “grays out” portions of the bed slope results tables depending on user selections for watershed treatment, gully treatment, top width and soil erodibility</t>
  </si>
  <si>
    <r>
      <t xml:space="preserve">EPHEMERAL GULLY MODELING TOOL </t>
    </r>
    <r>
      <rPr>
        <b/>
        <i/>
        <sz val="12"/>
        <color rgb="FF0070C0"/>
        <rFont val="Arial"/>
        <family val="2"/>
      </rPr>
      <t>VERSION 2</t>
    </r>
    <r>
      <rPr>
        <b/>
        <i/>
        <sz val="12"/>
        <color indexed="8"/>
        <rFont val="Arial"/>
        <family val="1"/>
        <charset val="204"/>
      </rPr>
      <t xml:space="preserve">
INSTRUCTIONS FOR USE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</si>
</sst>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_);\(0.0\)"/>
  </numFmts>
  <fonts count="40" x14ac:knownFonts="1">
    <font>
      <sz val="11"/>
      <color theme="1"/>
      <name val="Calibri"/>
      <family val="2"/>
      <scheme val="minor"/>
    </font>
    <font>
      <b/>
      <sz val="11"/>
      <color theme="1"/>
      <name val="Calibri"/>
      <family val="2"/>
      <scheme val="minor"/>
    </font>
    <font>
      <sz val="14"/>
      <color theme="1"/>
      <name val="Calibri"/>
      <family val="2"/>
      <scheme val="minor"/>
    </font>
    <font>
      <i/>
      <sz val="11"/>
      <color theme="1"/>
      <name val="Calibri"/>
      <family val="2"/>
      <scheme val="minor"/>
    </font>
    <font>
      <b/>
      <u/>
      <sz val="11"/>
      <color theme="1"/>
      <name val="Calibri"/>
      <family val="2"/>
      <scheme val="minor"/>
    </font>
    <font>
      <u/>
      <sz val="11"/>
      <color theme="1"/>
      <name val="Calibri"/>
      <family val="2"/>
      <scheme val="minor"/>
    </font>
    <font>
      <sz val="11"/>
      <color rgb="FF3F3F76"/>
      <name val="Calibri"/>
      <family val="2"/>
      <scheme val="minor"/>
    </font>
    <font>
      <b/>
      <sz val="16"/>
      <color theme="1"/>
      <name val="Calibri"/>
      <family val="2"/>
      <scheme val="minor"/>
    </font>
    <font>
      <i/>
      <sz val="10"/>
      <color theme="1"/>
      <name val="Calibri"/>
      <family val="2"/>
      <scheme val="minor"/>
    </font>
    <font>
      <vertAlign val="superscript"/>
      <sz val="11"/>
      <color theme="1"/>
      <name val="Calibri"/>
      <family val="2"/>
      <scheme val="minor"/>
    </font>
    <font>
      <i/>
      <vertAlign val="superscript"/>
      <sz val="11"/>
      <color theme="1"/>
      <name val="Calibri"/>
      <family val="2"/>
      <scheme val="minor"/>
    </font>
    <font>
      <sz val="12"/>
      <name val="Calibri"/>
      <family val="2"/>
      <scheme val="minor"/>
    </font>
    <font>
      <sz val="10"/>
      <color rgb="FF000000"/>
      <name val="Times New Roman"/>
      <family val="1"/>
    </font>
    <font>
      <sz val="11"/>
      <color theme="1"/>
      <name val="Calibri"/>
      <family val="2"/>
      <scheme val="minor"/>
    </font>
    <font>
      <b/>
      <sz val="14"/>
      <color theme="1"/>
      <name val="Calibri"/>
      <family val="2"/>
      <scheme val="minor"/>
    </font>
    <font>
      <sz val="16"/>
      <color theme="1"/>
      <name val="Calibri"/>
      <family val="2"/>
      <scheme val="minor"/>
    </font>
    <font>
      <b/>
      <sz val="12"/>
      <color theme="1"/>
      <name val="Calibri"/>
      <family val="2"/>
      <scheme val="minor"/>
    </font>
    <font>
      <b/>
      <i/>
      <sz val="12"/>
      <color theme="1"/>
      <name val="Calibri"/>
      <family val="2"/>
      <scheme val="minor"/>
    </font>
    <font>
      <b/>
      <sz val="10"/>
      <color indexed="81"/>
      <name val="Tahoma"/>
      <family val="2"/>
    </font>
    <font>
      <sz val="11"/>
      <name val="Calibri"/>
      <family val="2"/>
      <scheme val="minor"/>
    </font>
    <font>
      <sz val="10"/>
      <name val="Times New Roman"/>
      <family val="1"/>
      <charset val="204"/>
    </font>
    <font>
      <b/>
      <i/>
      <sz val="12"/>
      <color indexed="8"/>
      <name val="Arial"/>
      <family val="1"/>
      <charset val="204"/>
    </font>
    <font>
      <b/>
      <sz val="10"/>
      <color indexed="8"/>
      <name val="Arial"/>
      <family val="2"/>
    </font>
    <font>
      <b/>
      <sz val="10"/>
      <color indexed="8"/>
      <name val="Arial"/>
      <family val="1"/>
      <charset val="204"/>
    </font>
    <font>
      <sz val="10"/>
      <color indexed="8"/>
      <name val="Arial"/>
      <family val="1"/>
      <charset val="204"/>
    </font>
    <font>
      <sz val="10"/>
      <color indexed="8"/>
      <name val="Arial"/>
      <family val="2"/>
    </font>
    <font>
      <sz val="8"/>
      <color indexed="8"/>
      <name val="Arial"/>
      <family val="1"/>
      <charset val="204"/>
    </font>
    <font>
      <b/>
      <sz val="8"/>
      <color indexed="8"/>
      <name val="Arial"/>
      <family val="2"/>
    </font>
    <font>
      <sz val="9"/>
      <color indexed="8"/>
      <name val="Arial"/>
      <family val="2"/>
    </font>
    <font>
      <b/>
      <sz val="9"/>
      <color indexed="8"/>
      <name val="Arial"/>
      <family val="2"/>
    </font>
    <font>
      <b/>
      <sz val="10"/>
      <color rgb="FF000000"/>
      <name val="Arial"/>
      <family val="2"/>
    </font>
    <font>
      <strike/>
      <sz val="10"/>
      <color rgb="FF000000"/>
      <name val="Arial"/>
      <family val="2"/>
    </font>
    <font>
      <b/>
      <strike/>
      <sz val="10"/>
      <color rgb="FF000000"/>
      <name val="Arial"/>
      <family val="2"/>
    </font>
    <font>
      <u/>
      <sz val="11"/>
      <color theme="10"/>
      <name val="Calibri"/>
      <family val="2"/>
      <scheme val="minor"/>
    </font>
    <font>
      <sz val="11"/>
      <color rgb="FF0070C0"/>
      <name val="Calibri"/>
      <family val="2"/>
      <scheme val="minor"/>
    </font>
    <font>
      <strike/>
      <sz val="10"/>
      <color indexed="8"/>
      <name val="Arial"/>
      <family val="2"/>
    </font>
    <font>
      <strike/>
      <u/>
      <sz val="10"/>
      <color indexed="8"/>
      <name val="Arial"/>
      <family val="2"/>
    </font>
    <font>
      <sz val="10"/>
      <color rgb="FF0070C0"/>
      <name val="Arial"/>
      <family val="2"/>
    </font>
    <font>
      <b/>
      <i/>
      <sz val="12"/>
      <color rgb="FF0070C0"/>
      <name val="Arial"/>
      <family val="2"/>
    </font>
    <font>
      <b/>
      <sz val="11"/>
      <color rgb="FF0070C0"/>
      <name val="Calibri"/>
      <family val="2"/>
      <scheme val="minor"/>
    </font>
  </fonts>
  <fills count="14">
    <fill>
      <patternFill patternType="none"/>
    </fill>
    <fill>
      <patternFill patternType="gray125"/>
    </fill>
    <fill>
      <patternFill patternType="solid">
        <fgColor theme="7" tint="0.79998168889431442"/>
        <bgColor indexed="64"/>
      </patternFill>
    </fill>
    <fill>
      <patternFill patternType="solid">
        <fgColor rgb="FFFFCC99"/>
      </patternFill>
    </fill>
    <fill>
      <patternFill patternType="lightUp">
        <fgColor rgb="FFFF0000"/>
      </patternFill>
    </fill>
    <fill>
      <patternFill patternType="solid">
        <fgColor indexed="65"/>
        <bgColor auto="1"/>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CC99"/>
        <bgColor indexed="64"/>
      </patternFill>
    </fill>
    <fill>
      <patternFill patternType="solid">
        <fgColor rgb="FF92D05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59999389629810485"/>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double">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s>
  <cellStyleXfs count="6">
    <xf numFmtId="0" fontId="0" fillId="0" borderId="0"/>
    <xf numFmtId="0" fontId="6" fillId="3" borderId="7" applyNumberFormat="0" applyAlignment="0" applyProtection="0"/>
    <xf numFmtId="0" fontId="12" fillId="0" borderId="0"/>
    <xf numFmtId="9" fontId="13" fillId="0" borderId="0" applyFont="0" applyFill="0" applyBorder="0" applyAlignment="0" applyProtection="0"/>
    <xf numFmtId="43" fontId="13" fillId="0" borderId="0" applyFont="0" applyFill="0" applyBorder="0" applyAlignment="0" applyProtection="0"/>
    <xf numFmtId="0" fontId="33" fillId="0" borderId="0" applyNumberFormat="0" applyFill="0" applyBorder="0" applyAlignment="0" applyProtection="0"/>
  </cellStyleXfs>
  <cellXfs count="265">
    <xf numFmtId="0" fontId="0" fillId="0" borderId="0" xfId="0"/>
    <xf numFmtId="0" fontId="0" fillId="0" borderId="1" xfId="0" applyBorder="1" applyAlignment="1">
      <alignment horizontal="center"/>
    </xf>
    <xf numFmtId="0" fontId="0" fillId="0" borderId="1" xfId="0" applyBorder="1"/>
    <xf numFmtId="0" fontId="0" fillId="0" borderId="0" xfId="0" applyAlignment="1"/>
    <xf numFmtId="0" fontId="0" fillId="0" borderId="4" xfId="0" applyBorder="1" applyAlignment="1">
      <alignment horizontal="center"/>
    </xf>
    <xf numFmtId="0" fontId="0" fillId="0" borderId="0" xfId="0" applyAlignment="1">
      <alignment horizontal="right"/>
    </xf>
    <xf numFmtId="0" fontId="0" fillId="0" borderId="2" xfId="0" applyBorder="1"/>
    <xf numFmtId="0" fontId="0" fillId="0" borderId="0" xfId="0" quotePrefix="1" applyAlignment="1">
      <alignment horizontal="left"/>
    </xf>
    <xf numFmtId="0" fontId="0" fillId="0" borderId="0" xfId="0" applyAlignment="1">
      <alignment horizontal="center"/>
    </xf>
    <xf numFmtId="0" fontId="3" fillId="0" borderId="0" xfId="0" applyFont="1"/>
    <xf numFmtId="0" fontId="0" fillId="0" borderId="0" xfId="0" applyAlignment="1">
      <alignment horizontal="left"/>
    </xf>
    <xf numFmtId="49" fontId="0" fillId="0" borderId="0" xfId="0" applyNumberFormat="1"/>
    <xf numFmtId="0" fontId="0" fillId="0" borderId="0" xfId="0" quotePrefix="1" applyNumberFormat="1" applyAlignment="1">
      <alignment horizontal="left"/>
    </xf>
    <xf numFmtId="0" fontId="0" fillId="0" borderId="0" xfId="0" quotePrefix="1" applyAlignment="1">
      <alignment horizontal="right"/>
    </xf>
    <xf numFmtId="0" fontId="0" fillId="0" borderId="9" xfId="0" applyBorder="1" applyAlignment="1">
      <alignment horizontal="center"/>
    </xf>
    <xf numFmtId="0" fontId="0" fillId="0" borderId="1" xfId="0" applyFill="1" applyBorder="1" applyAlignment="1">
      <alignment horizontal="center"/>
    </xf>
    <xf numFmtId="2" fontId="0" fillId="0" borderId="1" xfId="0" applyNumberFormat="1" applyBorder="1" applyAlignment="1">
      <alignment horizontal="center"/>
    </xf>
    <xf numFmtId="0" fontId="3" fillId="0" borderId="0" xfId="0" quotePrefix="1" applyFont="1" applyAlignment="1">
      <alignment horizontal="left"/>
    </xf>
    <xf numFmtId="0" fontId="0" fillId="0" borderId="0" xfId="0" quotePrefix="1" applyFont="1" applyAlignment="1">
      <alignment horizontal="left" vertical="top" wrapText="1"/>
    </xf>
    <xf numFmtId="0" fontId="0" fillId="0" borderId="0" xfId="0" applyProtection="1">
      <protection hidden="1"/>
    </xf>
    <xf numFmtId="0" fontId="0" fillId="0" borderId="0" xfId="0" applyBorder="1" applyAlignment="1"/>
    <xf numFmtId="0" fontId="0" fillId="0" borderId="10" xfId="0" applyBorder="1" applyAlignment="1">
      <alignment horizontal="center"/>
    </xf>
    <xf numFmtId="0" fontId="0" fillId="0" borderId="5" xfId="0" applyBorder="1"/>
    <xf numFmtId="0" fontId="0" fillId="4" borderId="1" xfId="0" applyFill="1" applyBorder="1" applyAlignment="1">
      <alignment horizontal="center"/>
    </xf>
    <xf numFmtId="0" fontId="0" fillId="4" borderId="1" xfId="0" applyFill="1" applyBorder="1"/>
    <xf numFmtId="0" fontId="0" fillId="5" borderId="1" xfId="0" applyFill="1" applyBorder="1" applyAlignment="1">
      <alignment horizontal="center"/>
    </xf>
    <xf numFmtId="0" fontId="0" fillId="0" borderId="10" xfId="0" applyBorder="1" applyAlignment="1">
      <alignment horizontal="center"/>
    </xf>
    <xf numFmtId="0" fontId="1" fillId="0" borderId="0" xfId="0" applyFont="1" applyAlignment="1">
      <alignment horizontal="right" vertical="top"/>
    </xf>
    <xf numFmtId="0" fontId="1" fillId="0" borderId="0" xfId="0" applyFont="1" applyAlignment="1">
      <alignment horizontal="center" vertical="top"/>
    </xf>
    <xf numFmtId="164" fontId="0" fillId="0" borderId="10" xfId="0" applyNumberFormat="1" applyBorder="1" applyAlignment="1">
      <alignment horizontal="center" vertical="center"/>
    </xf>
    <xf numFmtId="0" fontId="11" fillId="3" borderId="16" xfId="1" applyFont="1" applyBorder="1" applyAlignment="1" applyProtection="1">
      <alignment horizontal="center"/>
      <protection locked="0"/>
    </xf>
    <xf numFmtId="0" fontId="0" fillId="0" borderId="4" xfId="0" applyBorder="1"/>
    <xf numFmtId="164" fontId="0" fillId="0" borderId="9" xfId="0" applyNumberFormat="1" applyBorder="1" applyAlignment="1">
      <alignment horizontal="center" vertical="center"/>
    </xf>
    <xf numFmtId="0" fontId="0" fillId="0" borderId="19" xfId="0" applyBorder="1" applyAlignment="1">
      <alignment horizontal="center"/>
    </xf>
    <xf numFmtId="164" fontId="0" fillId="0" borderId="20" xfId="0" applyNumberFormat="1" applyBorder="1" applyAlignment="1">
      <alignment horizontal="center" vertical="center"/>
    </xf>
    <xf numFmtId="0" fontId="0" fillId="0" borderId="24" xfId="0" applyBorder="1" applyAlignment="1">
      <alignment horizontal="center"/>
    </xf>
    <xf numFmtId="0" fontId="0" fillId="0" borderId="23" xfId="0" applyBorder="1"/>
    <xf numFmtId="164" fontId="0" fillId="0" borderId="24" xfId="0" applyNumberFormat="1" applyBorder="1" applyAlignment="1">
      <alignment horizontal="center" vertical="center"/>
    </xf>
    <xf numFmtId="0" fontId="0" fillId="0" borderId="10" xfId="0" applyBorder="1" applyAlignment="1">
      <alignment horizontal="center"/>
    </xf>
    <xf numFmtId="0" fontId="0" fillId="6" borderId="0" xfId="0" applyFill="1"/>
    <xf numFmtId="0" fontId="1" fillId="0" borderId="0" xfId="0" applyFont="1"/>
    <xf numFmtId="0" fontId="7" fillId="0" borderId="0" xfId="0" quotePrefix="1" applyFont="1" applyAlignment="1" applyProtection="1">
      <alignment horizontal="center"/>
    </xf>
    <xf numFmtId="0" fontId="0" fillId="0" borderId="0" xfId="0" applyAlignment="1" applyProtection="1">
      <alignment horizontal="right"/>
    </xf>
    <xf numFmtId="0" fontId="0" fillId="0" borderId="0" xfId="0" applyProtection="1"/>
    <xf numFmtId="0" fontId="7" fillId="0" borderId="0" xfId="0" quotePrefix="1" applyFont="1" applyAlignment="1" applyProtection="1"/>
    <xf numFmtId="0" fontId="0" fillId="0" borderId="0" xfId="0" quotePrefix="1" applyAlignment="1" applyProtection="1">
      <alignment horizontal="right"/>
    </xf>
    <xf numFmtId="0" fontId="3" fillId="0" borderId="0" xfId="0" applyFont="1" applyProtection="1"/>
    <xf numFmtId="0" fontId="0" fillId="0" borderId="0" xfId="0" applyBorder="1" applyAlignment="1" applyProtection="1">
      <alignment horizontal="center"/>
    </xf>
    <xf numFmtId="0" fontId="0" fillId="0" borderId="23" xfId="0" applyBorder="1" applyProtection="1"/>
    <xf numFmtId="0" fontId="0" fillId="0" borderId="1" xfId="0" applyBorder="1" applyProtection="1"/>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3" fillId="0" borderId="49" xfId="0" applyFont="1" applyBorder="1" applyAlignment="1" applyProtection="1">
      <alignment horizontal="center"/>
    </xf>
    <xf numFmtId="0" fontId="0" fillId="0" borderId="49" xfId="0" applyBorder="1" applyAlignment="1" applyProtection="1">
      <alignment horizontal="center"/>
    </xf>
    <xf numFmtId="0" fontId="3" fillId="0" borderId="50" xfId="0" applyFont="1" applyFill="1" applyBorder="1" applyAlignment="1" applyProtection="1">
      <alignment horizontal="center"/>
    </xf>
    <xf numFmtId="0" fontId="14" fillId="7" borderId="38" xfId="0" applyFont="1" applyFill="1" applyBorder="1" applyAlignment="1" applyProtection="1">
      <alignment horizontal="center"/>
      <protection locked="0"/>
    </xf>
    <xf numFmtId="0" fontId="14" fillId="7" borderId="26" xfId="0" applyFont="1" applyFill="1" applyBorder="1" applyAlignment="1" applyProtection="1">
      <alignment horizontal="center"/>
      <protection locked="0"/>
    </xf>
    <xf numFmtId="0" fontId="11" fillId="7" borderId="38" xfId="1" applyFont="1" applyFill="1" applyBorder="1" applyAlignment="1" applyProtection="1">
      <alignment horizontal="center"/>
      <protection locked="0"/>
    </xf>
    <xf numFmtId="0" fontId="0" fillId="7" borderId="38" xfId="0" applyFill="1" applyBorder="1" applyAlignment="1" applyProtection="1">
      <alignment horizontal="center"/>
      <protection locked="0"/>
    </xf>
    <xf numFmtId="0" fontId="1" fillId="0" borderId="0" xfId="0" applyFont="1" applyBorder="1" applyAlignment="1" applyProtection="1">
      <alignment horizontal="center"/>
    </xf>
    <xf numFmtId="0" fontId="0" fillId="0" borderId="38" xfId="0" applyBorder="1" applyProtection="1"/>
    <xf numFmtId="0" fontId="3" fillId="0" borderId="38" xfId="0" applyFont="1" applyBorder="1" applyProtection="1"/>
    <xf numFmtId="0" fontId="0" fillId="0" borderId="26" xfId="0" applyBorder="1" applyProtection="1"/>
    <xf numFmtId="0" fontId="3" fillId="0" borderId="26" xfId="0" applyFont="1" applyBorder="1" applyProtection="1"/>
    <xf numFmtId="0" fontId="0" fillId="0" borderId="26" xfId="0" applyBorder="1" applyAlignment="1" applyProtection="1">
      <alignment horizontal="center"/>
    </xf>
    <xf numFmtId="0" fontId="0" fillId="0" borderId="54" xfId="0" applyBorder="1" applyAlignment="1" applyProtection="1">
      <alignment vertical="center"/>
    </xf>
    <xf numFmtId="0" fontId="2" fillId="2" borderId="26" xfId="0" applyFont="1" applyFill="1" applyBorder="1" applyAlignment="1" applyProtection="1">
      <alignment horizontal="center"/>
      <protection locked="0"/>
    </xf>
    <xf numFmtId="164" fontId="0" fillId="0" borderId="47" xfId="0" applyNumberFormat="1" applyBorder="1" applyAlignment="1" applyProtection="1">
      <alignment horizontal="center"/>
    </xf>
    <xf numFmtId="164" fontId="0" fillId="0" borderId="31" xfId="0" applyNumberFormat="1" applyBorder="1" applyAlignment="1" applyProtection="1">
      <alignment horizontal="center"/>
    </xf>
    <xf numFmtId="164" fontId="0" fillId="0" borderId="45" xfId="0" applyNumberFormat="1" applyBorder="1" applyAlignment="1" applyProtection="1">
      <alignment horizontal="center"/>
    </xf>
    <xf numFmtId="0" fontId="0" fillId="0" borderId="0" xfId="0" quotePrefix="1" applyAlignment="1">
      <alignment horizontal="left"/>
    </xf>
    <xf numFmtId="0" fontId="0" fillId="0" borderId="0" xfId="0" quotePrefix="1" applyAlignment="1">
      <alignment horizontal="left"/>
    </xf>
    <xf numFmtId="0" fontId="0" fillId="0" borderId="0" xfId="0" quotePrefix="1" applyAlignment="1">
      <alignment horizontal="left"/>
    </xf>
    <xf numFmtId="0" fontId="16" fillId="0" borderId="53" xfId="0" quotePrefix="1" applyFont="1" applyFill="1" applyBorder="1" applyAlignment="1" applyProtection="1">
      <alignment horizontal="right" vertical="center" wrapText="1"/>
    </xf>
    <xf numFmtId="0" fontId="0" fillId="0" borderId="0" xfId="0" quotePrefix="1" applyAlignment="1" applyProtection="1">
      <alignment horizontal="right" wrapText="1"/>
    </xf>
    <xf numFmtId="0" fontId="16" fillId="0" borderId="57" xfId="0" quotePrefix="1" applyFont="1" applyFill="1" applyBorder="1" applyAlignment="1" applyProtection="1">
      <alignment horizontal="right" vertical="center" wrapText="1"/>
    </xf>
    <xf numFmtId="0" fontId="16" fillId="0" borderId="60" xfId="0" applyFont="1" applyFill="1" applyBorder="1" applyAlignment="1" applyProtection="1">
      <alignment horizontal="right" vertical="center" wrapText="1"/>
    </xf>
    <xf numFmtId="0" fontId="0" fillId="0" borderId="55" xfId="0" applyBorder="1"/>
    <xf numFmtId="0" fontId="3" fillId="0" borderId="54" xfId="0" applyFont="1" applyBorder="1"/>
    <xf numFmtId="0" fontId="14" fillId="0" borderId="55" xfId="0" applyFont="1" applyFill="1" applyBorder="1" applyAlignment="1">
      <alignment horizontal="center"/>
    </xf>
    <xf numFmtId="0" fontId="0" fillId="0" borderId="0" xfId="0" quotePrefix="1" applyAlignment="1"/>
    <xf numFmtId="0" fontId="0" fillId="0" borderId="0" xfId="0" quotePrefix="1" applyAlignment="1" applyProtection="1">
      <alignment horizontal="right" vertical="center" wrapText="1"/>
    </xf>
    <xf numFmtId="0" fontId="0" fillId="0" borderId="0" xfId="0" applyAlignment="1" applyProtection="1">
      <alignment horizontal="right" vertical="center" wrapText="1"/>
    </xf>
    <xf numFmtId="0" fontId="1" fillId="0" borderId="53" xfId="0" quotePrefix="1" applyFont="1" applyBorder="1" applyAlignment="1" applyProtection="1">
      <alignment horizontal="right" vertical="center" wrapText="1"/>
    </xf>
    <xf numFmtId="0" fontId="15" fillId="0" borderId="53" xfId="0" applyFont="1" applyBorder="1" applyAlignment="1" applyProtection="1">
      <alignment horizontal="right" vertical="center"/>
    </xf>
    <xf numFmtId="0" fontId="15" fillId="0" borderId="39" xfId="0" applyFont="1" applyBorder="1" applyAlignment="1" applyProtection="1">
      <alignment horizontal="right" vertical="center"/>
    </xf>
    <xf numFmtId="0" fontId="0" fillId="8" borderId="1" xfId="0" applyFill="1" applyBorder="1" applyAlignment="1" applyProtection="1">
      <alignment horizontal="center"/>
      <protection locked="0"/>
    </xf>
    <xf numFmtId="0" fontId="0" fillId="8" borderId="4" xfId="0" applyFill="1" applyBorder="1" applyAlignment="1" applyProtection="1">
      <alignment horizontal="center"/>
      <protection locked="0"/>
    </xf>
    <xf numFmtId="0" fontId="0" fillId="8" borderId="18" xfId="0" applyFill="1" applyBorder="1" applyAlignment="1" applyProtection="1">
      <alignment horizontal="center"/>
      <protection locked="0"/>
    </xf>
    <xf numFmtId="0" fontId="0" fillId="8" borderId="23"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8" borderId="2" xfId="0" applyFill="1" applyBorder="1" applyAlignment="1" applyProtection="1">
      <alignment horizontal="center" vertical="center"/>
      <protection locked="0"/>
    </xf>
    <xf numFmtId="0" fontId="0" fillId="8" borderId="4" xfId="0" applyFill="1" applyBorder="1" applyAlignment="1" applyProtection="1">
      <alignment horizontal="center" vertical="center"/>
      <protection locked="0"/>
    </xf>
    <xf numFmtId="0" fontId="0" fillId="0" borderId="0" xfId="0" applyBorder="1" applyAlignment="1">
      <alignment vertical="top" wrapText="1"/>
    </xf>
    <xf numFmtId="0" fontId="0" fillId="0" borderId="0" xfId="0" applyBorder="1" applyAlignment="1" applyProtection="1">
      <alignment wrapText="1"/>
    </xf>
    <xf numFmtId="0" fontId="0" fillId="0" borderId="0" xfId="0" applyBorder="1" applyAlignment="1" applyProtection="1"/>
    <xf numFmtId="0" fontId="0" fillId="6" borderId="0" xfId="0" applyFill="1" applyProtection="1"/>
    <xf numFmtId="0" fontId="16" fillId="0" borderId="53" xfId="0" applyFont="1" applyBorder="1" applyAlignment="1" applyProtection="1">
      <alignment horizontal="right" vertical="center" wrapText="1"/>
    </xf>
    <xf numFmtId="0" fontId="0" fillId="10" borderId="0" xfId="0" applyFill="1"/>
    <xf numFmtId="0" fontId="1" fillId="12" borderId="0" xfId="0" applyFont="1" applyFill="1" applyAlignment="1">
      <alignment horizontal="center" vertical="top"/>
    </xf>
    <xf numFmtId="0" fontId="0" fillId="12" borderId="0" xfId="0" applyFill="1" applyAlignment="1">
      <alignment horizontal="right"/>
    </xf>
    <xf numFmtId="0" fontId="0" fillId="9" borderId="0" xfId="0" applyFill="1" applyAlignment="1">
      <alignment horizontal="center"/>
    </xf>
    <xf numFmtId="0" fontId="0" fillId="11" borderId="0" xfId="0" applyFill="1" applyAlignment="1">
      <alignment horizontal="center"/>
    </xf>
    <xf numFmtId="0" fontId="1" fillId="0" borderId="46" xfId="0" quotePrefix="1" applyFont="1" applyBorder="1" applyAlignment="1" applyProtection="1">
      <alignment horizontal="left"/>
    </xf>
    <xf numFmtId="0" fontId="14" fillId="2" borderId="54" xfId="0" quotePrefix="1" applyFont="1" applyFill="1" applyBorder="1" applyAlignment="1" applyProtection="1">
      <alignment horizontal="center" wrapText="1"/>
      <protection locked="0"/>
    </xf>
    <xf numFmtId="0" fontId="14" fillId="0" borderId="59" xfId="0" applyFont="1" applyFill="1" applyBorder="1" applyAlignment="1">
      <alignment horizontal="center" wrapText="1"/>
    </xf>
    <xf numFmtId="0" fontId="0" fillId="0" borderId="62" xfId="0" applyBorder="1" applyAlignment="1" applyProtection="1">
      <alignment horizontal="left" vertical="center"/>
    </xf>
    <xf numFmtId="0" fontId="0" fillId="0" borderId="33" xfId="0" applyBorder="1" applyAlignment="1" applyProtection="1">
      <alignment horizontal="left" vertical="center"/>
    </xf>
    <xf numFmtId="0" fontId="0" fillId="0" borderId="35" xfId="0" applyBorder="1" applyAlignment="1" applyProtection="1">
      <alignment horizontal="left" vertical="center"/>
    </xf>
    <xf numFmtId="0" fontId="19" fillId="0" borderId="40" xfId="0" applyFont="1" applyBorder="1" applyAlignment="1" applyProtection="1">
      <alignment horizontal="left" vertical="center"/>
    </xf>
    <xf numFmtId="0" fontId="19" fillId="0" borderId="33" xfId="0" applyFont="1" applyBorder="1" applyAlignment="1" applyProtection="1">
      <alignment horizontal="left" vertical="center"/>
    </xf>
    <xf numFmtId="0" fontId="19" fillId="0" borderId="35" xfId="0" quotePrefix="1" applyFont="1" applyBorder="1" applyAlignment="1" applyProtection="1">
      <alignment horizontal="left" vertical="center"/>
    </xf>
    <xf numFmtId="0" fontId="19" fillId="0" borderId="35" xfId="0" applyFont="1" applyBorder="1" applyAlignment="1" applyProtection="1">
      <alignment horizontal="left" vertical="center"/>
    </xf>
    <xf numFmtId="0" fontId="19" fillId="0" borderId="40" xfId="0" applyFont="1" applyBorder="1" applyAlignment="1" applyProtection="1">
      <alignment vertical="center"/>
    </xf>
    <xf numFmtId="0" fontId="19" fillId="0" borderId="33" xfId="0" applyFont="1" applyBorder="1" applyAlignment="1" applyProtection="1">
      <alignment vertical="center"/>
    </xf>
    <xf numFmtId="0" fontId="19" fillId="0" borderId="35" xfId="0" applyFont="1" applyBorder="1" applyAlignment="1" applyProtection="1">
      <alignment vertical="center"/>
    </xf>
    <xf numFmtId="0" fontId="11" fillId="13" borderId="7" xfId="1" applyFont="1" applyFill="1" applyAlignment="1" applyProtection="1">
      <alignment horizontal="center"/>
    </xf>
    <xf numFmtId="0" fontId="11" fillId="13" borderId="7" xfId="1" quotePrefix="1" applyFont="1" applyFill="1" applyAlignment="1" applyProtection="1">
      <alignment horizontal="center"/>
    </xf>
    <xf numFmtId="0" fontId="3" fillId="0" borderId="0" xfId="0" applyFont="1" applyBorder="1" applyProtection="1"/>
    <xf numFmtId="0" fontId="14" fillId="6" borderId="54" xfId="0" applyFont="1" applyFill="1" applyBorder="1" applyAlignment="1" applyProtection="1">
      <alignment horizontal="center" wrapText="1"/>
      <protection locked="0"/>
    </xf>
    <xf numFmtId="0" fontId="0" fillId="0" borderId="0" xfId="0" quotePrefix="1" applyFont="1" applyBorder="1" applyAlignment="1">
      <alignment vertical="top"/>
    </xf>
    <xf numFmtId="0" fontId="0" fillId="0" borderId="0" xfId="0" applyFill="1" applyAlignment="1"/>
    <xf numFmtId="164" fontId="0" fillId="0" borderId="34" xfId="0" applyNumberFormat="1" applyBorder="1" applyAlignment="1" applyProtection="1">
      <alignment horizontal="center" vertical="center"/>
    </xf>
    <xf numFmtId="164" fontId="0" fillId="0" borderId="27" xfId="0" applyNumberFormat="1" applyBorder="1" applyAlignment="1" applyProtection="1">
      <alignment horizontal="center" vertical="center"/>
    </xf>
    <xf numFmtId="165" fontId="0" fillId="0" borderId="63" xfId="4" applyNumberFormat="1" applyFont="1" applyBorder="1" applyAlignment="1" applyProtection="1">
      <alignment horizontal="center" vertical="center"/>
    </xf>
    <xf numFmtId="165" fontId="0" fillId="0" borderId="64" xfId="4" applyNumberFormat="1" applyFont="1" applyBorder="1" applyAlignment="1" applyProtection="1">
      <alignment horizontal="center" vertical="center"/>
    </xf>
    <xf numFmtId="165" fontId="0" fillId="0" borderId="32" xfId="4" applyNumberFormat="1" applyFont="1" applyBorder="1" applyAlignment="1" applyProtection="1">
      <alignment horizontal="center" vertical="center"/>
    </xf>
    <xf numFmtId="165" fontId="0" fillId="0" borderId="26" xfId="4" applyNumberFormat="1" applyFont="1" applyBorder="1" applyAlignment="1" applyProtection="1">
      <alignment horizontal="center" vertical="center"/>
    </xf>
    <xf numFmtId="165" fontId="0" fillId="0" borderId="34" xfId="4" applyNumberFormat="1" applyFont="1" applyBorder="1" applyAlignment="1" applyProtection="1">
      <alignment horizontal="center" vertical="center"/>
    </xf>
    <xf numFmtId="165" fontId="0" fillId="0" borderId="27" xfId="4" applyNumberFormat="1" applyFont="1" applyBorder="1" applyAlignment="1" applyProtection="1">
      <alignment horizontal="center" vertical="center"/>
    </xf>
    <xf numFmtId="164" fontId="0" fillId="0" borderId="63" xfId="0" applyNumberFormat="1" applyBorder="1" applyAlignment="1" applyProtection="1">
      <alignment horizontal="center" vertical="center"/>
    </xf>
    <xf numFmtId="164" fontId="0" fillId="0" borderId="64" xfId="0" applyNumberFormat="1" applyBorder="1" applyAlignment="1" applyProtection="1">
      <alignment horizontal="center" vertical="center"/>
    </xf>
    <xf numFmtId="164" fontId="0" fillId="0" borderId="32" xfId="0" applyNumberFormat="1" applyBorder="1" applyAlignment="1" applyProtection="1">
      <alignment horizontal="center" vertical="center"/>
    </xf>
    <xf numFmtId="164" fontId="0" fillId="0" borderId="26" xfId="0" applyNumberFormat="1" applyBorder="1" applyAlignment="1" applyProtection="1">
      <alignment horizontal="center" vertical="center"/>
    </xf>
    <xf numFmtId="0" fontId="0" fillId="0" borderId="41" xfId="0" quotePrefix="1" applyBorder="1" applyAlignment="1" applyProtection="1">
      <alignment horizontal="center"/>
    </xf>
    <xf numFmtId="0" fontId="0" fillId="0" borderId="43" xfId="0" quotePrefix="1" applyBorder="1" applyAlignment="1" applyProtection="1">
      <alignment horizontal="center"/>
    </xf>
    <xf numFmtId="0" fontId="0" fillId="0" borderId="42" xfId="0" quotePrefix="1" applyBorder="1" applyAlignment="1" applyProtection="1">
      <alignment horizontal="center"/>
    </xf>
    <xf numFmtId="0" fontId="1" fillId="0" borderId="28"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0" borderId="48" xfId="0" applyFont="1" applyBorder="1" applyAlignment="1" applyProtection="1">
      <alignment horizontal="center" vertical="center"/>
    </xf>
    <xf numFmtId="0" fontId="1" fillId="0" borderId="29" xfId="0" applyFont="1" applyBorder="1" applyAlignment="1" applyProtection="1">
      <alignment horizontal="center" wrapText="1"/>
    </xf>
    <xf numFmtId="0" fontId="1" fillId="0" borderId="31" xfId="0" applyFont="1" applyBorder="1" applyAlignment="1" applyProtection="1">
      <alignment horizontal="center" wrapText="1"/>
    </xf>
    <xf numFmtId="0" fontId="1" fillId="0" borderId="36" xfId="0" quotePrefix="1" applyFont="1" applyBorder="1" applyAlignment="1" applyProtection="1">
      <alignment horizontal="center"/>
    </xf>
    <xf numFmtId="0" fontId="1" fillId="0" borderId="51" xfId="0" quotePrefix="1" applyFont="1" applyBorder="1" applyAlignment="1" applyProtection="1">
      <alignment horizontal="center"/>
    </xf>
    <xf numFmtId="0" fontId="1" fillId="0" borderId="22" xfId="0" quotePrefix="1" applyFont="1" applyBorder="1" applyAlignment="1" applyProtection="1">
      <alignment horizontal="center"/>
    </xf>
    <xf numFmtId="0" fontId="1" fillId="0" borderId="52" xfId="0" quotePrefix="1" applyFont="1" applyBorder="1" applyAlignment="1" applyProtection="1">
      <alignment horizontal="center"/>
    </xf>
    <xf numFmtId="0" fontId="1" fillId="0" borderId="37" xfId="0" quotePrefix="1" applyFont="1" applyBorder="1" applyAlignment="1" applyProtection="1">
      <alignment horizontal="center"/>
    </xf>
    <xf numFmtId="0" fontId="0" fillId="0" borderId="28" xfId="0" quotePrefix="1" applyBorder="1" applyAlignment="1" applyProtection="1">
      <alignment horizontal="center" vertical="center" wrapText="1"/>
    </xf>
    <xf numFmtId="0" fontId="0" fillId="0" borderId="25" xfId="0" quotePrefix="1" applyBorder="1" applyAlignment="1" applyProtection="1">
      <alignment horizontal="center" vertical="center" wrapText="1"/>
    </xf>
    <xf numFmtId="0" fontId="0" fillId="0" borderId="23" xfId="0" quotePrefix="1" applyBorder="1" applyAlignment="1" applyProtection="1">
      <alignment horizontal="center" vertical="center"/>
    </xf>
    <xf numFmtId="0" fontId="0" fillId="0" borderId="24" xfId="0" quotePrefix="1" applyBorder="1" applyAlignment="1" applyProtection="1">
      <alignment horizontal="center" vertical="center"/>
    </xf>
    <xf numFmtId="0" fontId="0" fillId="0" borderId="29" xfId="0" quotePrefix="1" applyBorder="1" applyAlignment="1" applyProtection="1">
      <alignment horizontal="center" vertical="center"/>
    </xf>
    <xf numFmtId="0" fontId="7" fillId="0" borderId="0" xfId="0" quotePrefix="1" applyFont="1" applyAlignment="1" applyProtection="1">
      <alignment horizontal="center"/>
    </xf>
    <xf numFmtId="0" fontId="7" fillId="13" borderId="38" xfId="0" quotePrefix="1" applyFont="1" applyFill="1" applyBorder="1" applyAlignment="1" applyProtection="1">
      <alignment horizontal="left"/>
      <protection locked="0"/>
    </xf>
    <xf numFmtId="0" fontId="7" fillId="13" borderId="26" xfId="0" quotePrefix="1" applyFont="1" applyFill="1" applyBorder="1" applyAlignment="1" applyProtection="1">
      <alignment horizontal="left"/>
      <protection locked="0"/>
    </xf>
    <xf numFmtId="0" fontId="0" fillId="13" borderId="38" xfId="0" applyFill="1" applyBorder="1" applyAlignment="1" applyProtection="1">
      <alignment horizontal="left"/>
      <protection locked="0"/>
    </xf>
    <xf numFmtId="0" fontId="0" fillId="13" borderId="26" xfId="0" applyFill="1" applyBorder="1" applyAlignment="1" applyProtection="1">
      <alignment horizontal="left"/>
      <protection locked="0"/>
    </xf>
    <xf numFmtId="0" fontId="0" fillId="13" borderId="38" xfId="0" applyFill="1" applyBorder="1" applyAlignment="1" applyProtection="1">
      <protection locked="0"/>
    </xf>
    <xf numFmtId="0" fontId="0" fillId="13" borderId="26" xfId="0" applyFill="1" applyBorder="1" applyAlignment="1" applyProtection="1">
      <protection locked="0"/>
    </xf>
    <xf numFmtId="0" fontId="0" fillId="0" borderId="1" xfId="0" applyBorder="1" applyAlignment="1" applyProtection="1">
      <alignment horizontal="center" wrapText="1"/>
    </xf>
    <xf numFmtId="0" fontId="0" fillId="0" borderId="49" xfId="0" applyBorder="1" applyAlignment="1" applyProtection="1">
      <alignment horizontal="center" wrapText="1"/>
    </xf>
    <xf numFmtId="0" fontId="0" fillId="0" borderId="14" xfId="0" quotePrefix="1" applyFont="1" applyFill="1" applyBorder="1" applyAlignment="1" applyProtection="1">
      <alignment horizontal="left" vertical="top" wrapText="1"/>
    </xf>
    <xf numFmtId="0" fontId="0" fillId="0" borderId="14" xfId="0" applyFont="1" applyFill="1" applyBorder="1" applyAlignment="1" applyProtection="1">
      <alignment vertical="top" wrapText="1"/>
    </xf>
    <xf numFmtId="0" fontId="0" fillId="0" borderId="0" xfId="0" applyFont="1" applyFill="1" applyBorder="1" applyAlignment="1" applyProtection="1">
      <alignment vertical="top" wrapText="1"/>
    </xf>
    <xf numFmtId="0" fontId="1" fillId="0" borderId="23" xfId="0" applyFont="1" applyBorder="1" applyAlignment="1" applyProtection="1">
      <alignment horizontal="center" wrapText="1"/>
    </xf>
    <xf numFmtId="0" fontId="1" fillId="0" borderId="1" xfId="0" applyFont="1" applyBorder="1" applyAlignment="1" applyProtection="1">
      <alignment horizontal="center" wrapText="1"/>
    </xf>
    <xf numFmtId="0" fontId="2" fillId="0" borderId="53" xfId="0" applyFont="1" applyBorder="1" applyAlignment="1" applyProtection="1">
      <alignment horizontal="left" vertical="center"/>
    </xf>
    <xf numFmtId="0" fontId="2" fillId="0" borderId="55" xfId="0" applyFont="1" applyBorder="1" applyAlignment="1" applyProtection="1">
      <alignment horizontal="left" vertical="center"/>
    </xf>
    <xf numFmtId="0" fontId="2" fillId="0" borderId="54" xfId="0" applyFont="1" applyBorder="1" applyAlignment="1" applyProtection="1">
      <alignment horizontal="left" vertical="center"/>
    </xf>
    <xf numFmtId="0" fontId="1" fillId="0" borderId="2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49" xfId="0" applyFont="1" applyBorder="1" applyAlignment="1" applyProtection="1">
      <alignment horizontal="center" vertical="center" wrapText="1"/>
    </xf>
    <xf numFmtId="0" fontId="0" fillId="0" borderId="11" xfId="0" quotePrefix="1" applyFont="1" applyBorder="1" applyAlignment="1">
      <alignment vertical="top" wrapText="1"/>
    </xf>
    <xf numFmtId="0" fontId="0" fillId="0" borderId="14" xfId="0" quotePrefix="1" applyFont="1" applyBorder="1" applyAlignment="1">
      <alignment vertical="top" wrapText="1"/>
    </xf>
    <xf numFmtId="0" fontId="0" fillId="0" borderId="15" xfId="0" quotePrefix="1" applyFont="1" applyBorder="1" applyAlignment="1">
      <alignment vertical="top" wrapText="1"/>
    </xf>
    <xf numFmtId="0" fontId="0" fillId="0" borderId="8" xfId="0" quotePrefix="1" applyFont="1" applyBorder="1" applyAlignment="1">
      <alignment vertical="top" wrapText="1"/>
    </xf>
    <xf numFmtId="0" fontId="0" fillId="0" borderId="0" xfId="0" quotePrefix="1" applyFont="1" applyBorder="1" applyAlignment="1">
      <alignment vertical="top" wrapText="1"/>
    </xf>
    <xf numFmtId="0" fontId="0" fillId="0" borderId="61" xfId="0" quotePrefix="1" applyFont="1" applyBorder="1" applyAlignment="1">
      <alignment vertical="top" wrapText="1"/>
    </xf>
    <xf numFmtId="0" fontId="0" fillId="0" borderId="9" xfId="0" quotePrefix="1" applyFont="1" applyBorder="1" applyAlignment="1">
      <alignment vertical="top" wrapText="1"/>
    </xf>
    <xf numFmtId="0" fontId="0" fillId="0" borderId="38" xfId="0" quotePrefix="1" applyFont="1" applyBorder="1" applyAlignment="1">
      <alignment vertical="top" wrapText="1"/>
    </xf>
    <xf numFmtId="0" fontId="0" fillId="0" borderId="17" xfId="0" quotePrefix="1" applyFont="1" applyBorder="1" applyAlignment="1">
      <alignment vertical="top" wrapText="1"/>
    </xf>
    <xf numFmtId="0" fontId="1" fillId="0" borderId="30" xfId="0" applyFont="1" applyBorder="1" applyAlignment="1">
      <alignment horizontal="center"/>
    </xf>
    <xf numFmtId="0" fontId="1" fillId="0" borderId="1" xfId="0" applyFont="1" applyBorder="1" applyAlignment="1">
      <alignment horizontal="center"/>
    </xf>
    <xf numFmtId="0" fontId="1" fillId="0" borderId="44" xfId="0" applyFont="1" applyBorder="1" applyAlignment="1">
      <alignment horizontal="center"/>
    </xf>
    <xf numFmtId="0" fontId="1" fillId="0" borderId="2" xfId="0" applyFont="1" applyBorder="1" applyAlignment="1">
      <alignment horizontal="center"/>
    </xf>
    <xf numFmtId="0" fontId="17" fillId="0" borderId="53" xfId="0" applyFont="1" applyBorder="1" applyAlignment="1">
      <alignment wrapText="1"/>
    </xf>
    <xf numFmtId="0" fontId="17" fillId="0" borderId="55" xfId="0" applyFont="1" applyBorder="1" applyAlignment="1">
      <alignment wrapText="1"/>
    </xf>
    <xf numFmtId="0" fontId="17" fillId="0" borderId="54" xfId="0" applyFont="1" applyBorder="1" applyAlignment="1">
      <alignment wrapText="1"/>
    </xf>
    <xf numFmtId="0" fontId="1" fillId="0" borderId="57" xfId="0" applyFont="1" applyBorder="1" applyAlignment="1">
      <alignment horizontal="center" vertical="center"/>
    </xf>
    <xf numFmtId="0" fontId="1" fillId="0" borderId="56" xfId="0" applyFont="1" applyBorder="1" applyAlignment="1">
      <alignment horizontal="center" vertical="center"/>
    </xf>
    <xf numFmtId="0" fontId="1" fillId="0" borderId="58" xfId="0" applyFont="1" applyBorder="1" applyAlignment="1">
      <alignment horizontal="center" vertical="center"/>
    </xf>
    <xf numFmtId="0" fontId="1" fillId="0" borderId="0" xfId="0" applyFont="1" applyBorder="1" applyAlignment="1">
      <alignment horizontal="center" vertical="center"/>
    </xf>
    <xf numFmtId="0" fontId="17" fillId="0" borderId="0" xfId="0" applyFont="1" applyBorder="1" applyAlignment="1" applyProtection="1">
      <alignment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0" xfId="0" quotePrefix="1" applyBorder="1" applyAlignment="1">
      <alignment horizontal="center"/>
    </xf>
    <xf numFmtId="0" fontId="0" fillId="0" borderId="12" xfId="0" quotePrefix="1" applyBorder="1" applyAlignment="1">
      <alignment horizontal="center"/>
    </xf>
    <xf numFmtId="0" fontId="0" fillId="0" borderId="14" xfId="0" applyBorder="1" applyAlignment="1">
      <alignment horizontal="center" wrapText="1"/>
    </xf>
    <xf numFmtId="0" fontId="0" fillId="0" borderId="15"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8" borderId="22" xfId="0" applyFill="1" applyBorder="1" applyAlignment="1" applyProtection="1">
      <alignment horizontal="center" vertical="center"/>
      <protection locked="0"/>
    </xf>
    <xf numFmtId="0" fontId="0" fillId="8" borderId="3" xfId="0" applyFill="1" applyBorder="1" applyAlignment="1" applyProtection="1">
      <alignment horizontal="center" vertical="center"/>
      <protection locked="0"/>
    </xf>
    <xf numFmtId="0" fontId="0" fillId="8" borderId="18" xfId="0" applyFill="1" applyBorder="1" applyAlignment="1" applyProtection="1">
      <alignment horizontal="center" vertical="center"/>
      <protection locked="0"/>
    </xf>
    <xf numFmtId="0" fontId="0" fillId="8" borderId="4"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7" fillId="0" borderId="0" xfId="0" quotePrefix="1" applyFont="1" applyAlignment="1">
      <alignment horizontal="center"/>
    </xf>
    <xf numFmtId="0" fontId="0" fillId="0" borderId="10" xfId="0" applyBorder="1" applyAlignment="1">
      <alignment horizontal="center"/>
    </xf>
    <xf numFmtId="0" fontId="0" fillId="0" borderId="12" xfId="0" applyBorder="1" applyAlignment="1">
      <alignment horizontal="center"/>
    </xf>
    <xf numFmtId="0" fontId="8" fillId="0" borderId="0" xfId="0" applyFont="1" applyBorder="1" applyAlignment="1"/>
    <xf numFmtId="0" fontId="0" fillId="0" borderId="11" xfId="0" quotePrefix="1" applyBorder="1" applyAlignment="1">
      <alignment horizontal="center"/>
    </xf>
    <xf numFmtId="0" fontId="0" fillId="0" borderId="8" xfId="0" applyBorder="1" applyAlignment="1">
      <alignment horizontal="center"/>
    </xf>
    <xf numFmtId="0" fontId="0" fillId="0" borderId="5" xfId="0" quotePrefix="1" applyBorder="1" applyAlignment="1">
      <alignment horizontal="center" wrapText="1"/>
    </xf>
    <xf numFmtId="0" fontId="0" fillId="0" borderId="3" xfId="0" applyBorder="1" applyAlignment="1">
      <alignment horizontal="center"/>
    </xf>
    <xf numFmtId="0" fontId="0" fillId="0" borderId="5" xfId="0" quotePrefix="1" applyBorder="1" applyAlignment="1">
      <alignment horizontal="center"/>
    </xf>
    <xf numFmtId="0" fontId="0" fillId="0" borderId="1" xfId="0" quotePrefix="1" applyBorder="1" applyAlignment="1">
      <alignment horizontal="center"/>
    </xf>
    <xf numFmtId="0" fontId="1" fillId="0" borderId="1" xfId="0" quotePrefix="1" applyFont="1" applyBorder="1" applyAlignment="1">
      <alignment horizontal="center"/>
    </xf>
    <xf numFmtId="0" fontId="0" fillId="0" borderId="5" xfId="0" applyBorder="1" applyAlignment="1">
      <alignment horizontal="center" wrapText="1"/>
    </xf>
    <xf numFmtId="0" fontId="0" fillId="0" borderId="9" xfId="0" applyBorder="1" applyAlignment="1">
      <alignment horizontal="center" vertical="center"/>
    </xf>
    <xf numFmtId="0" fontId="0" fillId="0" borderId="17" xfId="0" applyBorder="1" applyAlignment="1">
      <alignment horizontal="center" vertical="center"/>
    </xf>
    <xf numFmtId="0" fontId="0" fillId="13" borderId="10" xfId="0" applyFill="1" applyBorder="1" applyAlignment="1">
      <alignment horizontal="center" vertical="center"/>
    </xf>
    <xf numFmtId="0" fontId="0" fillId="13" borderId="12" xfId="0" applyFill="1" applyBorder="1" applyAlignment="1">
      <alignment horizontal="center" vertical="center"/>
    </xf>
    <xf numFmtId="0" fontId="0" fillId="0" borderId="10" xfId="3" applyNumberFormat="1" applyFont="1" applyBorder="1" applyAlignment="1">
      <alignment horizontal="center" vertical="center"/>
    </xf>
    <xf numFmtId="0" fontId="0" fillId="0" borderId="12" xfId="3" applyNumberFormat="1" applyFont="1" applyBorder="1" applyAlignment="1">
      <alignment horizontal="center" vertical="center"/>
    </xf>
    <xf numFmtId="0" fontId="2" fillId="0" borderId="6" xfId="0" quotePrefix="1" applyFont="1" applyBorder="1" applyAlignment="1">
      <alignment horizontal="center"/>
    </xf>
    <xf numFmtId="0" fontId="2" fillId="0" borderId="6" xfId="0" applyFont="1" applyBorder="1" applyAlignment="1">
      <alignment horizontal="center"/>
    </xf>
    <xf numFmtId="0" fontId="0" fillId="0" borderId="5" xfId="0" applyBorder="1" applyAlignment="1">
      <alignment horizontal="center"/>
    </xf>
    <xf numFmtId="0" fontId="1" fillId="0" borderId="13" xfId="0" applyFont="1" applyBorder="1" applyAlignment="1">
      <alignment horizontal="center"/>
    </xf>
    <xf numFmtId="0" fontId="1" fillId="10" borderId="0" xfId="0" applyFont="1" applyFill="1" applyAlignment="1">
      <alignment horizontal="center" vertical="top"/>
    </xf>
    <xf numFmtId="0" fontId="20"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vertical="top"/>
    </xf>
    <xf numFmtId="0" fontId="24" fillId="0" borderId="0" xfId="0" applyFont="1" applyBorder="1" applyAlignment="1">
      <alignment vertical="top" wrapText="1"/>
    </xf>
    <xf numFmtId="0" fontId="24" fillId="0" borderId="0" xfId="0" applyFont="1" applyBorder="1" applyAlignment="1">
      <alignment vertical="top"/>
    </xf>
    <xf numFmtId="0" fontId="20" fillId="0" borderId="0" xfId="0" applyFont="1" applyAlignment="1">
      <alignment horizontal="left" vertical="top"/>
    </xf>
    <xf numFmtId="0" fontId="0" fillId="0" borderId="0" xfId="0" applyAlignment="1">
      <alignment wrapText="1"/>
    </xf>
    <xf numFmtId="0" fontId="34" fillId="0" borderId="0" xfId="0" applyFont="1" applyAlignment="1">
      <alignment wrapText="1"/>
    </xf>
    <xf numFmtId="0" fontId="25" fillId="0" borderId="0" xfId="0" applyFont="1" applyFill="1" applyBorder="1" applyAlignment="1">
      <alignment vertical="top"/>
    </xf>
    <xf numFmtId="0" fontId="27" fillId="0" borderId="0" xfId="0" applyFont="1" applyAlignment="1">
      <alignment vertical="center"/>
    </xf>
    <xf numFmtId="0" fontId="26" fillId="0" borderId="0" xfId="0" applyFont="1" applyAlignment="1">
      <alignment vertical="center"/>
    </xf>
    <xf numFmtId="0" fontId="28" fillId="0" borderId="0" xfId="0" applyFont="1" applyAlignment="1">
      <alignment vertical="center" wrapText="1"/>
    </xf>
    <xf numFmtId="0" fontId="29" fillId="0" borderId="0" xfId="0" applyFont="1" applyAlignment="1">
      <alignment vertical="center" wrapText="1"/>
    </xf>
    <xf numFmtId="0" fontId="20" fillId="0" borderId="0" xfId="0" applyFont="1" applyBorder="1" applyAlignment="1"/>
    <xf numFmtId="0" fontId="0" fillId="0" borderId="0" xfId="0" applyBorder="1"/>
    <xf numFmtId="0" fontId="25" fillId="0" borderId="0" xfId="0" applyFont="1" applyBorder="1" applyAlignment="1">
      <alignment vertical="top" wrapText="1"/>
    </xf>
    <xf numFmtId="0" fontId="25" fillId="0" borderId="0" xfId="0" applyFont="1" applyBorder="1" applyAlignment="1">
      <alignment vertical="top"/>
    </xf>
    <xf numFmtId="0" fontId="34" fillId="0" borderId="0" xfId="0" applyFont="1" applyBorder="1" applyAlignment="1">
      <alignment wrapText="1"/>
    </xf>
    <xf numFmtId="0" fontId="33" fillId="0" borderId="0" xfId="5" applyBorder="1" applyAlignment="1">
      <alignment wrapText="1"/>
    </xf>
    <xf numFmtId="0" fontId="20" fillId="0" borderId="0" xfId="0" applyFont="1" applyBorder="1" applyAlignment="1">
      <alignment vertical="top"/>
    </xf>
    <xf numFmtId="0" fontId="25" fillId="0" borderId="0" xfId="0" applyFont="1" applyFill="1" applyBorder="1" applyAlignment="1">
      <alignment horizontal="left" vertical="top"/>
    </xf>
    <xf numFmtId="0" fontId="25" fillId="0" borderId="0" xfId="0" applyFont="1" applyFill="1" applyBorder="1" applyAlignment="1"/>
    <xf numFmtId="0" fontId="20" fillId="0" borderId="0" xfId="0" applyFont="1" applyFill="1" applyBorder="1" applyAlignment="1"/>
    <xf numFmtId="0" fontId="21" fillId="0" borderId="0" xfId="0" applyFont="1" applyBorder="1" applyAlignment="1">
      <alignment vertical="top" wrapText="1"/>
    </xf>
    <xf numFmtId="0" fontId="22" fillId="0" borderId="0" xfId="0" applyFont="1" applyBorder="1" applyAlignment="1">
      <alignment vertical="top" wrapText="1"/>
    </xf>
    <xf numFmtId="0" fontId="24" fillId="0" borderId="0" xfId="0" applyFont="1" applyBorder="1" applyAlignment="1">
      <alignment horizontal="left" vertical="top" wrapText="1" indent="5"/>
    </xf>
    <xf numFmtId="0" fontId="35" fillId="0" borderId="0" xfId="0" applyFont="1" applyBorder="1" applyAlignment="1">
      <alignment vertical="top" wrapText="1"/>
    </xf>
    <xf numFmtId="0" fontId="22" fillId="0" borderId="0" xfId="0" applyFont="1" applyBorder="1" applyAlignment="1">
      <alignment vertical="top"/>
    </xf>
    <xf numFmtId="0" fontId="34" fillId="0" borderId="0" xfId="0" applyFont="1"/>
    <xf numFmtId="0" fontId="34" fillId="0" borderId="0" xfId="0" applyFont="1" applyAlignment="1">
      <alignment horizontal="left" wrapText="1"/>
    </xf>
    <xf numFmtId="0" fontId="39" fillId="0" borderId="0" xfId="0" applyFont="1"/>
  </cellXfs>
  <cellStyles count="6">
    <cellStyle name="Comma" xfId="4" builtinId="3"/>
    <cellStyle name="Hyperlink" xfId="5" builtinId="8"/>
    <cellStyle name="Input" xfId="1" builtinId="20"/>
    <cellStyle name="Normal" xfId="0" builtinId="0"/>
    <cellStyle name="Normal 2" xfId="2" xr:uid="{00000000-0005-0000-0000-000003000000}"/>
    <cellStyle name="Percent" xfId="3" builtinId="5"/>
  </cellStyles>
  <dxfs count="61">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FFFFFF"/>
      </font>
      <fill>
        <patternFill patternType="none">
          <bgColor auto="1"/>
        </patternFill>
      </fill>
    </dxf>
    <dxf>
      <fill>
        <patternFill>
          <bgColor rgb="FFFFC7CE"/>
        </patternFill>
      </fill>
      <border>
        <left style="thin">
          <color auto="1"/>
        </left>
        <right style="thin">
          <color auto="1"/>
        </right>
        <top style="thin">
          <color auto="1"/>
        </top>
        <bottom style="thin">
          <color auto="1"/>
        </bottom>
        <vertical/>
        <horizontal/>
      </border>
    </dxf>
    <dxf>
      <font>
        <b/>
        <i/>
      </font>
      <fill>
        <patternFill>
          <bgColor rgb="FFFFFF00"/>
        </patternFill>
      </fill>
    </dxf>
    <dxf>
      <font>
        <b/>
        <i/>
      </font>
      <fill>
        <patternFill>
          <bgColor rgb="FFFFFF00"/>
        </patternFill>
      </fill>
    </dxf>
    <dxf>
      <font>
        <b/>
        <i/>
      </font>
      <fill>
        <patternFill>
          <bgColor rgb="FFFFFF00"/>
        </patternFill>
      </fill>
    </dxf>
    <dxf>
      <font>
        <b/>
        <i/>
      </font>
      <fill>
        <patternFill>
          <bgColor rgb="FFFFFF00"/>
        </patternFill>
      </fill>
    </dxf>
    <dxf>
      <font>
        <b/>
        <i/>
      </font>
      <fill>
        <patternFill>
          <bgColor rgb="FFFFFF00"/>
        </patternFill>
      </fill>
    </dxf>
    <dxf>
      <font>
        <b/>
        <i/>
      </font>
      <fill>
        <patternFill>
          <bgColor rgb="FFFFFF00"/>
        </patternFill>
      </fill>
    </dxf>
    <dxf>
      <font>
        <b/>
        <i/>
      </font>
      <fill>
        <patternFill>
          <bgColor rgb="FFFFFF00"/>
        </patternFill>
      </fill>
    </dxf>
    <dxf>
      <font>
        <b/>
        <i/>
      </font>
      <fill>
        <patternFill>
          <bgColor rgb="FFFFFF00"/>
        </patternFill>
      </fill>
    </dxf>
    <dxf>
      <font>
        <b val="0"/>
        <i val="0"/>
        <color theme="0" tint="-0.24994659260841701"/>
      </font>
      <fill>
        <patternFill patternType="none">
          <bgColor auto="1"/>
        </patternFill>
      </fill>
    </dxf>
    <dxf>
      <font>
        <color theme="0" tint="-0.24994659260841701"/>
      </font>
      <fill>
        <patternFill patternType="none">
          <bgColor auto="1"/>
        </patternFill>
      </fill>
    </dxf>
    <dxf>
      <font>
        <b/>
        <i/>
      </font>
      <fill>
        <patternFill>
          <bgColor rgb="FFFFFF00"/>
        </patternFill>
      </fill>
    </dxf>
    <dxf>
      <font>
        <color theme="0" tint="-0.24994659260841701"/>
      </font>
      <fill>
        <patternFill patternType="none">
          <bgColor auto="1"/>
        </patternFill>
      </fill>
    </dxf>
    <dxf>
      <font>
        <b/>
        <i/>
      </font>
      <fill>
        <patternFill patternType="solid">
          <bgColor rgb="FFFFFF00"/>
        </patternFill>
      </fill>
    </dxf>
    <dxf>
      <font>
        <b/>
        <i/>
        <strike val="0"/>
      </font>
      <fill>
        <patternFill>
          <bgColor rgb="FFFFFF00"/>
        </patternFill>
      </fill>
    </dxf>
    <dxf>
      <font>
        <b/>
        <i/>
        <strike val="0"/>
      </font>
      <fill>
        <patternFill patternType="solid">
          <fgColor auto="1"/>
          <bgColor rgb="FFFFFF00"/>
        </patternFill>
      </fill>
    </dxf>
    <dxf>
      <font>
        <strike val="0"/>
        <color theme="0" tint="-0.24994659260841701"/>
      </font>
      <fill>
        <patternFill patternType="none">
          <bgColor auto="1"/>
        </patternFill>
      </fill>
    </dxf>
    <dxf>
      <font>
        <color theme="0" tint="-0.24994659260841701"/>
      </font>
      <fill>
        <patternFill patternType="none">
          <bgColor auto="1"/>
        </patternFill>
      </fill>
    </dxf>
    <dxf>
      <font>
        <b val="0"/>
        <i val="0"/>
        <strike val="0"/>
        <color theme="0" tint="-0.24994659260841701"/>
      </font>
      <fill>
        <patternFill patternType="none">
          <bgColor auto="1"/>
        </patternFill>
      </fill>
    </dxf>
    <dxf>
      <font>
        <strike val="0"/>
        <color theme="0" tint="-0.24994659260841701"/>
      </font>
    </dxf>
    <dxf>
      <font>
        <b/>
        <i/>
        <strike val="0"/>
      </font>
      <fill>
        <patternFill>
          <bgColor rgb="FFFFFF00"/>
        </patternFill>
      </fill>
      <border>
        <left style="dashed">
          <color auto="1"/>
        </left>
        <right style="dashed">
          <color auto="1"/>
        </right>
        <top style="dashed">
          <color auto="1"/>
        </top>
        <bottom style="dashed">
          <color auto="1"/>
        </bottom>
        <vertical/>
        <horizontal/>
      </border>
    </dxf>
    <dxf>
      <font>
        <b/>
        <i/>
        <strike val="0"/>
      </font>
      <fill>
        <patternFill>
          <bgColor rgb="FFFFFF00"/>
        </patternFill>
      </fill>
      <border>
        <left style="dashed">
          <color auto="1"/>
        </left>
        <right style="dashed">
          <color auto="1"/>
        </right>
        <top style="dashed">
          <color auto="1"/>
        </top>
        <bottom style="dashed">
          <color auto="1"/>
        </bottom>
      </border>
    </dxf>
    <dxf>
      <font>
        <strike val="0"/>
        <color theme="0" tint="-0.24994659260841701"/>
      </font>
    </dxf>
    <dxf>
      <font>
        <color rgb="FF9C0006"/>
      </font>
      <fill>
        <patternFill>
          <bgColor rgb="FFFFC7CE"/>
        </patternFill>
      </fill>
    </dxf>
    <dxf>
      <font>
        <color auto="1"/>
      </font>
      <fill>
        <patternFill>
          <bgColor rgb="FFC6EFCE"/>
        </patternFill>
      </fill>
    </dxf>
    <dxf>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auto="1"/>
      </font>
      <fill>
        <patternFill>
          <bgColor rgb="FFC6EFCE"/>
        </patternFill>
      </fill>
    </dxf>
    <dxf>
      <fill>
        <patternFill>
          <bgColor rgb="FFFFC7CE"/>
        </patternFill>
      </fill>
    </dxf>
    <dxf>
      <font>
        <color rgb="FFFFC7CE"/>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bgColor rgb="FFFFC7CE"/>
        </patternFill>
      </fill>
    </dxf>
    <dxf>
      <font>
        <color rgb="FF9C0006"/>
      </font>
      <fill>
        <patternFill>
          <bgColor rgb="FFFFC7CE"/>
        </patternFill>
      </fill>
    </dxf>
    <dxf>
      <font>
        <b val="0"/>
        <i val="0"/>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color rgb="FFFFC7CE"/>
      <color rgb="FFFFBED7"/>
      <color rgb="FFFEBEC0"/>
      <color rgb="FFFF6699"/>
      <color rgb="FF00FFFF"/>
      <color rgb="FF66FFFF"/>
      <color rgb="FFFFCC99"/>
      <color rgb="FFFF9966"/>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2</xdr:col>
      <xdr:colOff>15240</xdr:colOff>
      <xdr:row>44</xdr:row>
      <xdr:rowOff>112732</xdr:rowOff>
    </xdr:to>
    <xdr:pic>
      <xdr:nvPicPr>
        <xdr:cNvPr id="2" name="Picture 1">
          <a:extLst>
            <a:ext uri="{FF2B5EF4-FFF2-40B4-BE49-F238E27FC236}">
              <a16:creationId xmlns:a16="http://schemas.microsoft.com/office/drawing/2014/main" id="{6B5671B2-1B6E-42D0-8A2E-7BE97DAC522E}"/>
            </a:ext>
          </a:extLst>
        </xdr:cNvPr>
        <xdr:cNvPicPr>
          <a:picLocks noChangeAspect="1"/>
        </xdr:cNvPicPr>
      </xdr:nvPicPr>
      <xdr:blipFill>
        <a:blip xmlns:r="http://schemas.openxmlformats.org/officeDocument/2006/relationships" r:embed="rId1"/>
        <a:stretch>
          <a:fillRect/>
        </a:stretch>
      </xdr:blipFill>
      <xdr:spPr>
        <a:xfrm>
          <a:off x="609600" y="18783300"/>
          <a:ext cx="5486400" cy="3038812"/>
        </a:xfrm>
        <a:prstGeom prst="rect">
          <a:avLst/>
        </a:prstGeom>
      </xdr:spPr>
    </xdr:pic>
    <xdr:clientData/>
  </xdr:twoCellAnchor>
  <xdr:twoCellAnchor editAs="oneCell">
    <xdr:from>
      <xdr:col>1</xdr:col>
      <xdr:colOff>0</xdr:colOff>
      <xdr:row>45</xdr:row>
      <xdr:rowOff>0</xdr:rowOff>
    </xdr:from>
    <xdr:to>
      <xdr:col>2</xdr:col>
      <xdr:colOff>15240</xdr:colOff>
      <xdr:row>63</xdr:row>
      <xdr:rowOff>87256</xdr:rowOff>
    </xdr:to>
    <xdr:pic>
      <xdr:nvPicPr>
        <xdr:cNvPr id="3" name="Picture 2">
          <a:extLst>
            <a:ext uri="{FF2B5EF4-FFF2-40B4-BE49-F238E27FC236}">
              <a16:creationId xmlns:a16="http://schemas.microsoft.com/office/drawing/2014/main" id="{925CD4D4-710D-460B-9B1E-3B58312ECE17}"/>
            </a:ext>
          </a:extLst>
        </xdr:cNvPr>
        <xdr:cNvPicPr>
          <a:picLocks noChangeAspect="1"/>
        </xdr:cNvPicPr>
      </xdr:nvPicPr>
      <xdr:blipFill>
        <a:blip xmlns:r="http://schemas.openxmlformats.org/officeDocument/2006/relationships" r:embed="rId2"/>
        <a:stretch>
          <a:fillRect/>
        </a:stretch>
      </xdr:blipFill>
      <xdr:spPr>
        <a:xfrm>
          <a:off x="609600" y="20894040"/>
          <a:ext cx="5486400" cy="33790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78276</xdr:colOff>
      <xdr:row>15</xdr:row>
      <xdr:rowOff>95250</xdr:rowOff>
    </xdr:from>
    <xdr:to>
      <xdr:col>37</xdr:col>
      <xdr:colOff>203</xdr:colOff>
      <xdr:row>18</xdr:row>
      <xdr:rowOff>342900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t="37485" b="26289"/>
        <a:stretch/>
      </xdr:blipFill>
      <xdr:spPr>
        <a:xfrm>
          <a:off x="4269276" y="3981450"/>
          <a:ext cx="6094127" cy="1390650"/>
        </a:xfrm>
        <a:prstGeom prst="rect">
          <a:avLst/>
        </a:prstGeom>
        <a:ln w="12700">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45720</xdr:rowOff>
        </xdr:from>
        <xdr:to>
          <xdr:col>8</xdr:col>
          <xdr:colOff>563880</xdr:colOff>
          <xdr:row>46</xdr:row>
          <xdr:rowOff>160020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47</xdr:row>
          <xdr:rowOff>45720</xdr:rowOff>
        </xdr:from>
        <xdr:to>
          <xdr:col>8</xdr:col>
          <xdr:colOff>518160</xdr:colOff>
          <xdr:row>73</xdr:row>
          <xdr:rowOff>175260</xdr:rowOff>
        </xdr:to>
        <xdr:sp macro="" textlink="">
          <xdr:nvSpPr>
            <xdr:cNvPr id="7170" name="Object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efotg.sc.egov.usda.gov/references/public/NE/Erosion_Category_for_Nebraska_Soils.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Microsoft_Word_Document1.docx"/><Relationship Id="rId5" Type="http://schemas.openxmlformats.org/officeDocument/2006/relationships/image" Target="../media/image4.emf"/><Relationship Id="rId4" Type="http://schemas.openxmlformats.org/officeDocument/2006/relationships/package" Target="../embeddings/Microsoft_Word_Document.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B3EA7-9435-4785-9A91-DEDDBAA9900B}">
  <dimension ref="A1:K69"/>
  <sheetViews>
    <sheetView tabSelected="1" topLeftCell="A21" workbookViewId="0">
      <selection activeCell="B65" sqref="B65"/>
    </sheetView>
  </sheetViews>
  <sheetFormatPr defaultRowHeight="14.4" x14ac:dyDescent="0.3"/>
  <cols>
    <col min="2" max="2" width="79.77734375" customWidth="1"/>
  </cols>
  <sheetData>
    <row r="1" spans="2:11" x14ac:dyDescent="0.3">
      <c r="B1" s="248"/>
      <c r="C1" s="248"/>
      <c r="D1" s="248"/>
      <c r="E1" s="248"/>
      <c r="F1" s="248"/>
      <c r="G1" s="248"/>
      <c r="H1" s="248"/>
      <c r="I1" s="248"/>
      <c r="J1" s="248"/>
    </row>
    <row r="2" spans="2:11" ht="15.6" customHeight="1" x14ac:dyDescent="0.3">
      <c r="B2" s="257" t="s">
        <v>260</v>
      </c>
      <c r="C2" s="257"/>
      <c r="D2" s="257"/>
      <c r="E2" s="257"/>
      <c r="F2" s="257"/>
      <c r="G2" s="257"/>
      <c r="H2" s="257"/>
      <c r="I2" s="257"/>
      <c r="J2" s="257"/>
      <c r="K2" s="234"/>
    </row>
    <row r="3" spans="2:11" x14ac:dyDescent="0.3">
      <c r="B3" s="258" t="s">
        <v>240</v>
      </c>
      <c r="C3" s="258"/>
      <c r="D3" s="258"/>
      <c r="E3" s="258"/>
      <c r="F3" s="258"/>
      <c r="G3" s="258"/>
      <c r="H3" s="258"/>
      <c r="I3" s="258"/>
      <c r="J3" s="258"/>
      <c r="K3" s="234"/>
    </row>
    <row r="4" spans="2:11" s="3" customFormat="1" ht="39.6" x14ac:dyDescent="0.3">
      <c r="B4" s="237" t="s">
        <v>241</v>
      </c>
      <c r="C4" s="238"/>
      <c r="D4" s="238"/>
      <c r="E4" s="238"/>
      <c r="F4" s="238"/>
      <c r="G4" s="238"/>
      <c r="H4" s="238"/>
      <c r="I4" s="238"/>
      <c r="J4" s="238"/>
      <c r="K4" s="236"/>
    </row>
    <row r="5" spans="2:11" s="3" customFormat="1" x14ac:dyDescent="0.3">
      <c r="B5" s="237"/>
      <c r="C5" s="238"/>
      <c r="D5" s="238"/>
      <c r="E5" s="238"/>
      <c r="F5" s="238"/>
      <c r="G5" s="238"/>
      <c r="H5" s="238"/>
      <c r="I5" s="238"/>
      <c r="J5" s="238"/>
      <c r="K5" s="236"/>
    </row>
    <row r="6" spans="2:11" ht="66" x14ac:dyDescent="0.3">
      <c r="B6" s="249" t="s">
        <v>242</v>
      </c>
      <c r="C6" s="250"/>
      <c r="D6" s="250"/>
      <c r="E6" s="250"/>
      <c r="F6" s="250"/>
      <c r="G6" s="250"/>
      <c r="H6" s="250"/>
      <c r="I6" s="250"/>
      <c r="J6" s="250"/>
      <c r="K6" s="236"/>
    </row>
    <row r="7" spans="2:11" x14ac:dyDescent="0.3">
      <c r="B7" s="249"/>
      <c r="C7" s="250"/>
      <c r="D7" s="250"/>
      <c r="E7" s="250"/>
      <c r="F7" s="250"/>
      <c r="G7" s="250"/>
      <c r="H7" s="250"/>
      <c r="I7" s="250"/>
      <c r="J7" s="250"/>
      <c r="K7" s="236"/>
    </row>
    <row r="8" spans="2:11" s="240" customFormat="1" ht="39.6" x14ac:dyDescent="0.3">
      <c r="B8" s="249" t="s">
        <v>243</v>
      </c>
      <c r="C8" s="249"/>
      <c r="D8" s="249"/>
      <c r="E8" s="249"/>
      <c r="F8" s="249"/>
      <c r="G8" s="249"/>
      <c r="H8" s="249"/>
      <c r="I8" s="249"/>
      <c r="J8" s="249"/>
      <c r="K8" s="234"/>
    </row>
    <row r="9" spans="2:11" x14ac:dyDescent="0.3">
      <c r="B9" s="250"/>
      <c r="C9" s="250"/>
      <c r="D9" s="250"/>
      <c r="E9" s="250"/>
      <c r="F9" s="250"/>
      <c r="G9" s="250"/>
      <c r="H9" s="250"/>
      <c r="I9" s="250"/>
      <c r="J9" s="250"/>
      <c r="K9" s="236"/>
    </row>
    <row r="10" spans="2:11" s="240" customFormat="1" ht="39.6" x14ac:dyDescent="0.3">
      <c r="B10" s="249" t="s">
        <v>244</v>
      </c>
      <c r="C10" s="249"/>
      <c r="D10" s="249"/>
      <c r="E10" s="249"/>
      <c r="F10" s="249"/>
      <c r="G10" s="249"/>
      <c r="H10" s="249"/>
      <c r="I10" s="249"/>
      <c r="J10" s="249"/>
      <c r="K10" s="234"/>
    </row>
    <row r="11" spans="2:11" s="240" customFormat="1" x14ac:dyDescent="0.3">
      <c r="B11" s="249"/>
      <c r="C11" s="249"/>
      <c r="D11" s="249"/>
      <c r="E11" s="249"/>
      <c r="F11" s="249"/>
      <c r="G11" s="249"/>
      <c r="H11" s="249"/>
      <c r="I11" s="249"/>
      <c r="J11" s="249"/>
      <c r="K11" s="234"/>
    </row>
    <row r="12" spans="2:11" s="240" customFormat="1" ht="26.4" x14ac:dyDescent="0.3">
      <c r="B12" s="249" t="s">
        <v>245</v>
      </c>
      <c r="C12" s="249"/>
      <c r="D12" s="249"/>
      <c r="E12" s="249"/>
      <c r="F12" s="249"/>
      <c r="G12" s="249"/>
      <c r="H12" s="249"/>
      <c r="I12" s="249"/>
      <c r="J12" s="249"/>
      <c r="K12" s="234"/>
    </row>
    <row r="13" spans="2:11" x14ac:dyDescent="0.3">
      <c r="B13" s="250"/>
      <c r="C13" s="250"/>
      <c r="D13" s="250"/>
      <c r="E13" s="250"/>
      <c r="F13" s="250"/>
      <c r="G13" s="250"/>
      <c r="H13" s="250"/>
      <c r="I13" s="250"/>
      <c r="J13" s="250"/>
      <c r="K13" s="236"/>
    </row>
    <row r="14" spans="2:11" s="240" customFormat="1" ht="26.4" x14ac:dyDescent="0.3">
      <c r="B14" s="249" t="s">
        <v>246</v>
      </c>
      <c r="C14" s="249"/>
      <c r="D14" s="249"/>
      <c r="E14" s="249"/>
      <c r="F14" s="249"/>
      <c r="G14" s="249"/>
      <c r="H14" s="249"/>
      <c r="I14" s="249"/>
      <c r="J14" s="249"/>
      <c r="K14" s="234"/>
    </row>
    <row r="15" spans="2:11" s="240" customFormat="1" ht="118.8" x14ac:dyDescent="0.3">
      <c r="B15" s="259" t="s">
        <v>247</v>
      </c>
      <c r="C15" s="237"/>
      <c r="D15" s="237"/>
      <c r="E15" s="237"/>
      <c r="F15" s="237"/>
      <c r="G15" s="237"/>
      <c r="H15" s="237"/>
      <c r="I15" s="237"/>
      <c r="J15" s="237"/>
      <c r="K15" s="234"/>
    </row>
    <row r="16" spans="2:11" s="240" customFormat="1" x14ac:dyDescent="0.3">
      <c r="B16" s="237"/>
      <c r="C16" s="237"/>
      <c r="D16" s="237"/>
      <c r="E16" s="237"/>
      <c r="F16" s="237"/>
      <c r="G16" s="237"/>
      <c r="H16" s="237"/>
      <c r="I16" s="237"/>
      <c r="J16" s="237"/>
      <c r="K16" s="234"/>
    </row>
    <row r="17" spans="2:11" ht="145.19999999999999" x14ac:dyDescent="0.3">
      <c r="B17" s="260" t="s">
        <v>253</v>
      </c>
      <c r="C17" s="238"/>
      <c r="D17" s="238"/>
      <c r="E17" s="238"/>
      <c r="F17" s="238"/>
      <c r="G17" s="238"/>
      <c r="H17" s="238"/>
      <c r="I17" s="238"/>
      <c r="J17" s="238"/>
      <c r="K17" s="236"/>
    </row>
    <row r="18" spans="2:11" x14ac:dyDescent="0.3">
      <c r="B18" s="261" t="s">
        <v>254</v>
      </c>
      <c r="C18" s="250"/>
      <c r="D18" s="250"/>
      <c r="E18" s="250"/>
      <c r="F18" s="250"/>
      <c r="G18" s="250"/>
      <c r="H18" s="250"/>
      <c r="I18" s="250"/>
      <c r="J18" s="250"/>
      <c r="K18" s="236"/>
    </row>
    <row r="19" spans="2:11" ht="129.6" x14ac:dyDescent="0.3">
      <c r="B19" s="251" t="s">
        <v>249</v>
      </c>
      <c r="C19" s="250"/>
      <c r="D19" s="250"/>
      <c r="E19" s="250"/>
      <c r="F19" s="250"/>
      <c r="G19" s="250"/>
      <c r="H19" s="250"/>
      <c r="I19" s="250"/>
      <c r="J19" s="250"/>
      <c r="K19" s="236"/>
    </row>
    <row r="20" spans="2:11" ht="28.8" x14ac:dyDescent="0.3">
      <c r="B20" s="252" t="s">
        <v>248</v>
      </c>
      <c r="C20" s="238"/>
      <c r="D20" s="238"/>
      <c r="E20" s="238"/>
      <c r="F20" s="238"/>
      <c r="G20" s="238"/>
      <c r="H20" s="238"/>
      <c r="I20" s="238"/>
      <c r="J20" s="238"/>
      <c r="K20" s="236"/>
    </row>
    <row r="21" spans="2:11" ht="43.2" x14ac:dyDescent="0.3">
      <c r="B21" s="263" t="s">
        <v>255</v>
      </c>
      <c r="C21" s="238"/>
      <c r="D21" s="238"/>
      <c r="E21" s="238"/>
      <c r="F21" s="238"/>
      <c r="G21" s="238"/>
      <c r="H21" s="238"/>
      <c r="I21" s="238"/>
      <c r="J21" s="238"/>
      <c r="K21" s="236"/>
    </row>
    <row r="22" spans="2:11" x14ac:dyDescent="0.3">
      <c r="B22" s="252"/>
      <c r="C22" s="238"/>
      <c r="D22" s="238"/>
      <c r="E22" s="238"/>
      <c r="F22" s="238"/>
      <c r="G22" s="238"/>
      <c r="H22" s="238"/>
      <c r="I22" s="238"/>
      <c r="J22" s="238"/>
      <c r="K22" s="236"/>
    </row>
    <row r="23" spans="2:11" ht="118.8" x14ac:dyDescent="0.3">
      <c r="B23" s="237" t="s">
        <v>256</v>
      </c>
      <c r="C23" s="238"/>
      <c r="D23" s="238"/>
      <c r="E23" s="238"/>
      <c r="F23" s="238"/>
      <c r="G23" s="238"/>
      <c r="H23" s="238"/>
      <c r="I23" s="238"/>
      <c r="J23" s="253"/>
      <c r="K23" s="236"/>
    </row>
    <row r="24" spans="2:11" x14ac:dyDescent="0.3">
      <c r="B24" s="237"/>
      <c r="C24" s="238"/>
      <c r="D24" s="238"/>
      <c r="E24" s="238"/>
      <c r="F24" s="238"/>
      <c r="G24" s="238"/>
      <c r="H24" s="238"/>
      <c r="I24" s="238"/>
      <c r="J24" s="253"/>
      <c r="K24" s="236"/>
    </row>
    <row r="25" spans="2:11" ht="180" customHeight="1" x14ac:dyDescent="0.3">
      <c r="B25" s="237" t="s">
        <v>250</v>
      </c>
      <c r="C25" s="238"/>
      <c r="D25" s="238"/>
      <c r="E25" s="238"/>
      <c r="F25" s="238"/>
      <c r="G25" s="238"/>
      <c r="H25" s="238"/>
      <c r="I25" s="238"/>
      <c r="J25" s="253"/>
      <c r="K25" s="236"/>
    </row>
    <row r="26" spans="2:11" ht="79.2" x14ac:dyDescent="0.3">
      <c r="B26" s="237" t="s">
        <v>251</v>
      </c>
      <c r="C26" s="238"/>
      <c r="D26" s="238"/>
      <c r="E26" s="238"/>
      <c r="F26" s="238"/>
      <c r="G26" s="238"/>
      <c r="H26" s="238"/>
      <c r="I26" s="238"/>
      <c r="J26" s="253"/>
      <c r="K26" s="236"/>
    </row>
    <row r="27" spans="2:11" ht="158.4" x14ac:dyDescent="0.3">
      <c r="B27" s="237" t="s">
        <v>252</v>
      </c>
      <c r="C27" s="238"/>
      <c r="D27" s="238"/>
      <c r="E27" s="238"/>
      <c r="F27" s="238"/>
      <c r="G27" s="238"/>
      <c r="H27" s="238"/>
      <c r="I27" s="238"/>
      <c r="J27" s="253"/>
      <c r="K27" s="236"/>
    </row>
    <row r="28" spans="2:11" x14ac:dyDescent="0.3">
      <c r="B28" s="238"/>
      <c r="C28" s="238"/>
      <c r="D28" s="238"/>
      <c r="E28" s="238"/>
      <c r="F28" s="238"/>
      <c r="G28" s="238"/>
      <c r="H28" s="238"/>
      <c r="I28" s="238"/>
      <c r="J28" s="253"/>
      <c r="K28" s="236"/>
    </row>
    <row r="29" spans="2:11" ht="14.4" customHeight="1" x14ac:dyDescent="0.3">
      <c r="B29" s="254"/>
      <c r="C29" s="242"/>
      <c r="D29" s="242"/>
      <c r="E29" s="242"/>
      <c r="F29" s="242"/>
      <c r="G29" s="242"/>
      <c r="H29" s="242"/>
      <c r="I29" s="255"/>
      <c r="J29" s="253"/>
      <c r="K29" s="236"/>
    </row>
    <row r="30" spans="2:11" ht="14.4" customHeight="1" x14ac:dyDescent="0.3">
      <c r="B30" s="242"/>
      <c r="C30" s="242"/>
      <c r="D30" s="242"/>
      <c r="E30" s="242"/>
      <c r="F30" s="242"/>
      <c r="G30" s="242"/>
      <c r="H30" s="242"/>
      <c r="I30" s="255"/>
      <c r="J30" s="253"/>
      <c r="K30" s="236"/>
    </row>
    <row r="31" spans="2:11" ht="14.4" customHeight="1" x14ac:dyDescent="0.3">
      <c r="B31" s="242"/>
      <c r="C31" s="242"/>
      <c r="D31" s="242"/>
      <c r="E31" s="242"/>
      <c r="F31" s="242"/>
      <c r="G31" s="242"/>
      <c r="H31" s="256"/>
      <c r="I31" s="256"/>
      <c r="J31" s="253"/>
      <c r="K31" s="236"/>
    </row>
    <row r="32" spans="2:11" x14ac:dyDescent="0.3">
      <c r="B32" s="247"/>
      <c r="C32" s="247"/>
      <c r="D32" s="247"/>
      <c r="E32" s="247"/>
      <c r="F32" s="247"/>
      <c r="G32" s="247"/>
      <c r="H32" s="247"/>
      <c r="I32" s="247"/>
      <c r="J32" s="253"/>
      <c r="K32" s="236"/>
    </row>
    <row r="33" spans="2:11" x14ac:dyDescent="0.3">
      <c r="B33" s="244"/>
      <c r="C33" s="244"/>
      <c r="D33" s="244"/>
      <c r="E33" s="244"/>
      <c r="F33" s="244"/>
      <c r="G33" s="244"/>
      <c r="H33" s="244"/>
      <c r="I33" s="244"/>
      <c r="J33" s="244"/>
      <c r="K33" s="244"/>
    </row>
    <row r="34" spans="2:11" x14ac:dyDescent="0.3">
      <c r="B34" s="244"/>
      <c r="C34" s="244"/>
      <c r="D34" s="236"/>
      <c r="E34" s="236"/>
      <c r="F34" s="239"/>
      <c r="G34" s="236"/>
      <c r="H34" s="236"/>
      <c r="I34" s="236"/>
      <c r="J34" s="236"/>
      <c r="K34" s="236"/>
    </row>
    <row r="35" spans="2:11" x14ac:dyDescent="0.3">
      <c r="B35" s="243"/>
      <c r="C35" s="243"/>
      <c r="D35" s="243"/>
      <c r="E35" s="243"/>
      <c r="F35" s="244"/>
      <c r="G35" s="244"/>
      <c r="H35" s="244"/>
      <c r="I35" s="244"/>
      <c r="J35" s="244"/>
      <c r="K35" s="244"/>
    </row>
    <row r="36" spans="2:11" x14ac:dyDescent="0.3">
      <c r="B36" s="234"/>
      <c r="C36" s="234"/>
      <c r="D36" s="234"/>
      <c r="E36" s="234"/>
      <c r="F36" s="235"/>
      <c r="G36" s="245"/>
      <c r="H36" s="245"/>
      <c r="I36" s="245"/>
      <c r="J36" s="245"/>
      <c r="K36" s="245"/>
    </row>
    <row r="37" spans="2:11" x14ac:dyDescent="0.3">
      <c r="B37" s="246"/>
      <c r="C37" s="246"/>
      <c r="D37" s="246"/>
      <c r="E37" s="246"/>
      <c r="F37" s="246"/>
      <c r="G37" s="246"/>
      <c r="H37" s="246"/>
      <c r="I37" s="246"/>
      <c r="J37" s="246"/>
      <c r="K37" s="246"/>
    </row>
    <row r="65" spans="1:2" x14ac:dyDescent="0.3">
      <c r="A65" s="262"/>
      <c r="B65" s="264" t="s">
        <v>257</v>
      </c>
    </row>
    <row r="67" spans="1:2" ht="57.6" x14ac:dyDescent="0.3">
      <c r="B67" s="241" t="s">
        <v>258</v>
      </c>
    </row>
    <row r="69" spans="1:2" ht="43.2" x14ac:dyDescent="0.3">
      <c r="B69" s="241" t="s">
        <v>259</v>
      </c>
    </row>
  </sheetData>
  <sheetProtection algorithmName="SHA-512" hashValue="xBNGEk/AzfXt7Pcv7MhIbrwRLyC9qUATVJlEPB3Qz9H3U3UCa+ziyPNtnJbCAvAVL4CvO+J+1Hy5Vdx+hzeJLA==" saltValue="UJ+/SqkG/IEVnjuSMvLKSQ==" spinCount="100000" sheet="1" objects="1" scenarios="1"/>
  <hyperlinks>
    <hyperlink ref="B20" r:id="rId1" xr:uid="{1C215E78-08F3-448A-8E4C-07D235C530F7}"/>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115"/>
  <sheetViews>
    <sheetView topLeftCell="Q1" workbookViewId="0">
      <selection activeCell="Z5" sqref="Z5"/>
    </sheetView>
  </sheetViews>
  <sheetFormatPr defaultRowHeight="14.4" x14ac:dyDescent="0.3"/>
  <cols>
    <col min="1" max="1" width="17.33203125" bestFit="1" customWidth="1"/>
    <col min="19" max="19" width="14.33203125" customWidth="1"/>
    <col min="25" max="25" width="19.88671875" customWidth="1"/>
    <col min="26" max="26" width="108.109375" bestFit="1" customWidth="1"/>
  </cols>
  <sheetData>
    <row r="1" spans="1:35" x14ac:dyDescent="0.3">
      <c r="A1" s="11" t="s">
        <v>57</v>
      </c>
      <c r="B1">
        <v>1</v>
      </c>
      <c r="C1">
        <v>2</v>
      </c>
      <c r="D1">
        <v>5</v>
      </c>
      <c r="E1">
        <v>10</v>
      </c>
      <c r="F1">
        <v>25</v>
      </c>
      <c r="G1">
        <v>50</v>
      </c>
      <c r="H1">
        <v>100</v>
      </c>
      <c r="L1" s="27" t="s">
        <v>85</v>
      </c>
      <c r="M1" s="28" t="s">
        <v>86</v>
      </c>
      <c r="N1" s="28" t="s">
        <v>87</v>
      </c>
      <c r="O1" s="28" t="s">
        <v>88</v>
      </c>
      <c r="P1" s="28" t="s">
        <v>89</v>
      </c>
      <c r="S1" s="99"/>
      <c r="T1" s="233" t="s">
        <v>100</v>
      </c>
      <c r="U1" s="233"/>
      <c r="V1" s="233"/>
      <c r="W1" s="233"/>
      <c r="Y1" s="40" t="s">
        <v>238</v>
      </c>
      <c r="AA1" s="40" t="s">
        <v>129</v>
      </c>
    </row>
    <row r="2" spans="1:35" x14ac:dyDescent="0.3">
      <c r="A2" s="72" t="s">
        <v>133</v>
      </c>
      <c r="B2">
        <v>2.4700000000000002</v>
      </c>
      <c r="C2">
        <v>2.87</v>
      </c>
      <c r="D2">
        <v>3.58</v>
      </c>
      <c r="E2">
        <v>4.21</v>
      </c>
      <c r="F2">
        <v>5.13</v>
      </c>
      <c r="G2">
        <v>5.89</v>
      </c>
      <c r="H2">
        <v>6.69</v>
      </c>
      <c r="L2" t="s">
        <v>90</v>
      </c>
      <c r="M2">
        <v>0.1</v>
      </c>
      <c r="N2">
        <v>2.5532300000000001</v>
      </c>
      <c r="O2">
        <v>-0.61512</v>
      </c>
      <c r="P2">
        <v>-0.16403000000000001</v>
      </c>
      <c r="S2" s="100" t="s">
        <v>99</v>
      </c>
      <c r="T2" s="102" t="s">
        <v>101</v>
      </c>
      <c r="U2" s="102" t="s">
        <v>102</v>
      </c>
      <c r="V2" s="102" t="s">
        <v>103</v>
      </c>
      <c r="W2" s="102" t="s">
        <v>21</v>
      </c>
      <c r="Y2" s="3" t="s">
        <v>232</v>
      </c>
      <c r="Z2" s="122" t="s">
        <v>235</v>
      </c>
      <c r="AA2" t="s">
        <v>20</v>
      </c>
      <c r="AB2">
        <v>0</v>
      </c>
    </row>
    <row r="3" spans="1:35" x14ac:dyDescent="0.3">
      <c r="A3" s="72" t="s">
        <v>134</v>
      </c>
      <c r="B3">
        <v>2.3199999999999998</v>
      </c>
      <c r="C3">
        <v>2.67</v>
      </c>
      <c r="D3">
        <v>3.29</v>
      </c>
      <c r="E3">
        <v>3.84</v>
      </c>
      <c r="F3">
        <v>4.6399999999999997</v>
      </c>
      <c r="G3">
        <v>5.31</v>
      </c>
      <c r="H3">
        <v>6</v>
      </c>
      <c r="L3" t="s">
        <v>90</v>
      </c>
      <c r="M3">
        <v>0.3</v>
      </c>
      <c r="N3">
        <v>2.4653200000000002</v>
      </c>
      <c r="O3">
        <v>-0.62256999999999996</v>
      </c>
      <c r="P3">
        <v>-0.11656999999999999</v>
      </c>
      <c r="S3" s="101" t="s">
        <v>104</v>
      </c>
      <c r="T3" s="103">
        <v>77</v>
      </c>
      <c r="U3" s="103">
        <v>86</v>
      </c>
      <c r="V3" s="103">
        <v>91</v>
      </c>
      <c r="W3" s="103">
        <v>94</v>
      </c>
      <c r="Y3" s="3" t="s">
        <v>229</v>
      </c>
      <c r="Z3" t="s">
        <v>235</v>
      </c>
      <c r="AA3" t="s">
        <v>22</v>
      </c>
      <c r="AB3">
        <v>3</v>
      </c>
    </row>
    <row r="4" spans="1:35" x14ac:dyDescent="0.3">
      <c r="A4" s="72" t="s">
        <v>135</v>
      </c>
      <c r="B4">
        <v>1.87</v>
      </c>
      <c r="C4">
        <v>2.16</v>
      </c>
      <c r="D4">
        <v>2.66</v>
      </c>
      <c r="E4">
        <v>3.11</v>
      </c>
      <c r="F4">
        <v>3.78</v>
      </c>
      <c r="G4">
        <v>4.34</v>
      </c>
      <c r="H4">
        <v>4.93</v>
      </c>
      <c r="L4" t="s">
        <v>90</v>
      </c>
      <c r="M4">
        <v>0.35</v>
      </c>
      <c r="N4">
        <v>2.4189600000000002</v>
      </c>
      <c r="O4">
        <v>-0.61594000000000004</v>
      </c>
      <c r="P4">
        <v>-8.8200000000000001E-2</v>
      </c>
      <c r="S4" s="101" t="s">
        <v>105</v>
      </c>
      <c r="T4" s="103">
        <v>76</v>
      </c>
      <c r="U4" s="103">
        <v>85</v>
      </c>
      <c r="V4" s="103">
        <v>90</v>
      </c>
      <c r="W4" s="103">
        <v>93</v>
      </c>
      <c r="Y4" s="3" t="s">
        <v>230</v>
      </c>
      <c r="Z4" t="s">
        <v>235</v>
      </c>
      <c r="AA4" t="s">
        <v>23</v>
      </c>
      <c r="AB4">
        <v>6</v>
      </c>
    </row>
    <row r="5" spans="1:35" x14ac:dyDescent="0.3">
      <c r="A5" s="72" t="s">
        <v>136</v>
      </c>
      <c r="B5">
        <v>1.63</v>
      </c>
      <c r="C5">
        <v>1.9</v>
      </c>
      <c r="D5">
        <v>2.36</v>
      </c>
      <c r="E5">
        <v>2.76</v>
      </c>
      <c r="F5">
        <v>3.34</v>
      </c>
      <c r="G5">
        <v>3.8</v>
      </c>
      <c r="H5">
        <v>4.2699999999999996</v>
      </c>
      <c r="L5" t="s">
        <v>90</v>
      </c>
      <c r="M5">
        <v>0.4</v>
      </c>
      <c r="N5">
        <v>2.36409</v>
      </c>
      <c r="O5">
        <v>-0.59857000000000005</v>
      </c>
      <c r="P5">
        <v>-5.6210000000000003E-2</v>
      </c>
      <c r="S5" s="101" t="s">
        <v>106</v>
      </c>
      <c r="T5" s="103">
        <v>74</v>
      </c>
      <c r="U5" s="103">
        <v>83</v>
      </c>
      <c r="V5" s="103">
        <v>88</v>
      </c>
      <c r="W5" s="103">
        <v>90</v>
      </c>
      <c r="Y5" s="3" t="s">
        <v>233</v>
      </c>
      <c r="Z5" t="s">
        <v>239</v>
      </c>
    </row>
    <row r="6" spans="1:35" x14ac:dyDescent="0.3">
      <c r="A6" s="72" t="s">
        <v>137</v>
      </c>
      <c r="B6">
        <v>2.13</v>
      </c>
      <c r="C6">
        <v>2.4900000000000002</v>
      </c>
      <c r="D6">
        <v>3.08</v>
      </c>
      <c r="E6">
        <v>3.57</v>
      </c>
      <c r="F6">
        <v>4.2699999999999996</v>
      </c>
      <c r="G6">
        <v>4.82</v>
      </c>
      <c r="H6">
        <v>5.38</v>
      </c>
      <c r="L6" t="s">
        <v>90</v>
      </c>
      <c r="M6">
        <v>0.45</v>
      </c>
      <c r="N6">
        <v>2.2923800000000001</v>
      </c>
      <c r="O6">
        <v>-0.57004999999999995</v>
      </c>
      <c r="P6">
        <v>-2.281E-2</v>
      </c>
      <c r="S6" s="101" t="s">
        <v>107</v>
      </c>
      <c r="T6" s="103">
        <v>64</v>
      </c>
      <c r="U6" s="103">
        <v>74</v>
      </c>
      <c r="V6" s="103">
        <v>81</v>
      </c>
      <c r="W6" s="103">
        <v>85</v>
      </c>
    </row>
    <row r="7" spans="1:35" x14ac:dyDescent="0.3">
      <c r="A7" s="72" t="s">
        <v>58</v>
      </c>
      <c r="B7">
        <v>2.37</v>
      </c>
      <c r="C7">
        <v>2.75</v>
      </c>
      <c r="D7">
        <v>3.43</v>
      </c>
      <c r="E7">
        <v>4.0599999999999996</v>
      </c>
      <c r="F7">
        <v>5</v>
      </c>
      <c r="G7">
        <v>5.79</v>
      </c>
      <c r="H7">
        <v>6.64</v>
      </c>
      <c r="L7" t="s">
        <v>90</v>
      </c>
      <c r="M7">
        <v>0.5</v>
      </c>
      <c r="N7">
        <v>2.20282</v>
      </c>
      <c r="O7">
        <v>-0.51598999999999995</v>
      </c>
      <c r="P7">
        <v>1.259E-2</v>
      </c>
      <c r="S7" s="101" t="s">
        <v>132</v>
      </c>
      <c r="T7" s="103">
        <v>60</v>
      </c>
      <c r="U7" s="103">
        <v>72</v>
      </c>
      <c r="V7" s="103">
        <v>78</v>
      </c>
      <c r="W7" s="103">
        <v>83</v>
      </c>
    </row>
    <row r="8" spans="1:35" x14ac:dyDescent="0.3">
      <c r="A8" s="72" t="s">
        <v>138</v>
      </c>
      <c r="B8">
        <v>1.68</v>
      </c>
      <c r="C8">
        <v>1.93</v>
      </c>
      <c r="D8">
        <v>2.36</v>
      </c>
      <c r="E8">
        <v>2.73</v>
      </c>
      <c r="F8">
        <v>3.26</v>
      </c>
      <c r="G8">
        <v>3.68</v>
      </c>
      <c r="H8">
        <v>4.1100000000000003</v>
      </c>
    </row>
    <row r="9" spans="1:35" x14ac:dyDescent="0.3">
      <c r="A9" s="72" t="s">
        <v>139</v>
      </c>
      <c r="B9">
        <v>2.25</v>
      </c>
      <c r="C9">
        <v>2.58</v>
      </c>
      <c r="D9">
        <v>3.15</v>
      </c>
      <c r="E9">
        <v>3.64</v>
      </c>
      <c r="F9">
        <v>4.3499999999999996</v>
      </c>
      <c r="G9">
        <v>4.92</v>
      </c>
      <c r="H9">
        <v>5.51</v>
      </c>
    </row>
    <row r="10" spans="1:35" x14ac:dyDescent="0.3">
      <c r="A10" s="72" t="s">
        <v>140</v>
      </c>
      <c r="B10">
        <v>2.12</v>
      </c>
      <c r="C10">
        <v>2.4500000000000002</v>
      </c>
      <c r="D10">
        <v>3</v>
      </c>
      <c r="E10">
        <v>3.47</v>
      </c>
      <c r="F10">
        <v>4.1500000000000004</v>
      </c>
      <c r="G10">
        <v>4.7</v>
      </c>
      <c r="H10">
        <v>5.27</v>
      </c>
    </row>
    <row r="11" spans="1:35" ht="15" customHeight="1" x14ac:dyDescent="0.3">
      <c r="A11" s="72" t="s">
        <v>141</v>
      </c>
      <c r="B11">
        <v>2.35</v>
      </c>
      <c r="C11">
        <v>2.74</v>
      </c>
      <c r="D11">
        <v>3.43</v>
      </c>
      <c r="E11">
        <v>4.04</v>
      </c>
      <c r="F11">
        <v>4.9400000000000004</v>
      </c>
      <c r="G11">
        <v>5.68</v>
      </c>
      <c r="H11">
        <v>6.47</v>
      </c>
      <c r="S11" s="5" t="s">
        <v>113</v>
      </c>
      <c r="T11" s="73" t="s">
        <v>209</v>
      </c>
      <c r="U11" s="81"/>
      <c r="V11" s="81"/>
      <c r="W11" s="81"/>
      <c r="X11" s="81"/>
      <c r="Y11" s="81"/>
      <c r="Z11" s="81"/>
      <c r="AA11" s="81"/>
      <c r="AB11" s="81"/>
      <c r="AC11" s="81"/>
      <c r="AD11" s="81"/>
      <c r="AE11" s="81"/>
      <c r="AF11" s="81"/>
      <c r="AG11" s="81"/>
      <c r="AH11" s="81"/>
      <c r="AI11" s="81"/>
    </row>
    <row r="12" spans="1:35" ht="15" customHeight="1" x14ac:dyDescent="0.3">
      <c r="A12" s="72" t="s">
        <v>142</v>
      </c>
      <c r="B12">
        <v>2.5299999999999998</v>
      </c>
      <c r="C12">
        <v>2.9</v>
      </c>
      <c r="D12">
        <v>3.58</v>
      </c>
      <c r="E12">
        <v>4.2</v>
      </c>
      <c r="F12">
        <v>5.16</v>
      </c>
      <c r="G12">
        <v>5.97</v>
      </c>
      <c r="H12">
        <v>6.85</v>
      </c>
      <c r="S12" s="5" t="s">
        <v>114</v>
      </c>
      <c r="T12" s="73" t="s">
        <v>210</v>
      </c>
      <c r="U12" s="81"/>
      <c r="V12" s="81"/>
      <c r="W12" s="81"/>
      <c r="X12" s="81"/>
      <c r="Y12" s="81"/>
      <c r="Z12" s="81"/>
      <c r="AA12" s="81"/>
      <c r="AB12" s="81"/>
      <c r="AC12" s="81"/>
      <c r="AD12" s="81"/>
      <c r="AE12" s="81"/>
      <c r="AF12" s="81"/>
      <c r="AG12" s="81"/>
      <c r="AH12" s="81"/>
      <c r="AI12" s="81"/>
    </row>
    <row r="13" spans="1:35" ht="15" customHeight="1" x14ac:dyDescent="0.3">
      <c r="A13" s="72" t="s">
        <v>59</v>
      </c>
      <c r="B13">
        <v>2.56</v>
      </c>
      <c r="C13">
        <v>2.96</v>
      </c>
      <c r="D13">
        <v>3.69</v>
      </c>
      <c r="E13">
        <v>4.3600000000000003</v>
      </c>
      <c r="F13">
        <v>5.39</v>
      </c>
      <c r="G13">
        <v>6.27</v>
      </c>
      <c r="H13">
        <v>7.21</v>
      </c>
      <c r="S13" s="5" t="s">
        <v>132</v>
      </c>
      <c r="T13" s="73" t="s">
        <v>208</v>
      </c>
      <c r="U13" s="81"/>
      <c r="V13" s="81"/>
      <c r="W13" s="81"/>
      <c r="X13" s="81"/>
      <c r="Y13" s="81"/>
      <c r="Z13" s="81"/>
      <c r="AA13" s="81"/>
      <c r="AB13" s="81"/>
      <c r="AC13" s="81"/>
      <c r="AD13" s="81"/>
      <c r="AE13" s="81"/>
      <c r="AF13" s="81"/>
      <c r="AG13" s="81"/>
      <c r="AH13" s="81"/>
      <c r="AI13" s="81"/>
    </row>
    <row r="14" spans="1:35" ht="15" customHeight="1" x14ac:dyDescent="0.3">
      <c r="A14" s="72" t="s">
        <v>60</v>
      </c>
      <c r="B14">
        <v>2.68</v>
      </c>
      <c r="C14">
        <v>3.13</v>
      </c>
      <c r="D14">
        <v>3.93</v>
      </c>
      <c r="E14">
        <v>4.66</v>
      </c>
      <c r="F14">
        <v>5.77</v>
      </c>
      <c r="G14">
        <v>6.7</v>
      </c>
      <c r="H14">
        <v>7.71</v>
      </c>
      <c r="S14" s="13" t="s">
        <v>217</v>
      </c>
      <c r="T14" s="73" t="s">
        <v>211</v>
      </c>
      <c r="U14" s="81"/>
      <c r="V14" s="81"/>
      <c r="W14" s="81"/>
      <c r="X14" s="81"/>
      <c r="Y14" s="81"/>
      <c r="Z14" s="81"/>
      <c r="AA14" s="81"/>
      <c r="AB14" s="81"/>
      <c r="AC14" s="81"/>
      <c r="AD14" s="81"/>
      <c r="AE14" s="81"/>
      <c r="AF14" s="81"/>
      <c r="AG14" s="81"/>
      <c r="AH14" s="81"/>
      <c r="AI14" s="81"/>
    </row>
    <row r="15" spans="1:35" ht="15" customHeight="1" x14ac:dyDescent="0.3">
      <c r="A15" s="72" t="s">
        <v>61</v>
      </c>
      <c r="B15">
        <v>2.38</v>
      </c>
      <c r="C15">
        <v>2.73</v>
      </c>
      <c r="D15">
        <v>3.32</v>
      </c>
      <c r="E15">
        <v>3.85</v>
      </c>
      <c r="F15">
        <v>4.5999999999999996</v>
      </c>
      <c r="G15">
        <v>5.21</v>
      </c>
      <c r="H15">
        <v>5.85</v>
      </c>
      <c r="S15" s="13" t="s">
        <v>218</v>
      </c>
      <c r="T15" s="73" t="s">
        <v>212</v>
      </c>
      <c r="U15" s="3"/>
      <c r="V15" s="3"/>
      <c r="W15" s="3"/>
      <c r="X15" s="3"/>
      <c r="Y15" s="3"/>
      <c r="Z15" s="3"/>
      <c r="AA15" s="3"/>
      <c r="AB15" s="3"/>
      <c r="AC15" s="3"/>
      <c r="AD15" s="3"/>
      <c r="AE15" s="3"/>
      <c r="AF15" s="3"/>
      <c r="AG15" s="3"/>
      <c r="AH15" s="3"/>
      <c r="AI15" s="3"/>
    </row>
    <row r="16" spans="1:35" x14ac:dyDescent="0.3">
      <c r="A16" s="72" t="s">
        <v>143</v>
      </c>
      <c r="B16">
        <v>1.98</v>
      </c>
      <c r="C16">
        <v>2.3199999999999998</v>
      </c>
      <c r="D16">
        <v>2.89</v>
      </c>
      <c r="E16">
        <v>3.39</v>
      </c>
      <c r="F16">
        <v>4.1100000000000003</v>
      </c>
      <c r="G16">
        <v>4.6900000000000004</v>
      </c>
      <c r="H16">
        <v>5.29</v>
      </c>
    </row>
    <row r="17" spans="1:8" x14ac:dyDescent="0.3">
      <c r="A17" s="72" t="s">
        <v>144</v>
      </c>
      <c r="B17">
        <v>1.91</v>
      </c>
      <c r="C17">
        <v>2.2200000000000002</v>
      </c>
      <c r="D17">
        <v>2.75</v>
      </c>
      <c r="E17">
        <v>3.22</v>
      </c>
      <c r="F17">
        <v>3.9</v>
      </c>
      <c r="G17">
        <v>4.45</v>
      </c>
      <c r="H17">
        <v>5.03</v>
      </c>
    </row>
    <row r="18" spans="1:8" x14ac:dyDescent="0.3">
      <c r="A18" s="72" t="s">
        <v>145</v>
      </c>
      <c r="B18">
        <v>1.8</v>
      </c>
      <c r="C18">
        <v>2.08</v>
      </c>
      <c r="D18">
        <v>2.56</v>
      </c>
      <c r="E18">
        <v>2.99</v>
      </c>
      <c r="F18">
        <v>3.63</v>
      </c>
      <c r="G18">
        <v>4.16</v>
      </c>
      <c r="H18">
        <v>4.72</v>
      </c>
    </row>
    <row r="19" spans="1:8" x14ac:dyDescent="0.3">
      <c r="A19" s="72" t="s">
        <v>62</v>
      </c>
      <c r="B19">
        <v>2.4500000000000002</v>
      </c>
      <c r="C19">
        <v>2.87</v>
      </c>
      <c r="D19">
        <v>3.6</v>
      </c>
      <c r="E19">
        <v>4.25</v>
      </c>
      <c r="F19">
        <v>5.23</v>
      </c>
      <c r="G19">
        <v>6.04</v>
      </c>
      <c r="H19">
        <v>6.91</v>
      </c>
    </row>
    <row r="20" spans="1:8" x14ac:dyDescent="0.3">
      <c r="A20" s="72" t="s">
        <v>146</v>
      </c>
      <c r="B20">
        <v>2.56</v>
      </c>
      <c r="C20">
        <v>2.96</v>
      </c>
      <c r="D20">
        <v>3.68</v>
      </c>
      <c r="E20">
        <v>4.33</v>
      </c>
      <c r="F20">
        <v>5.29</v>
      </c>
      <c r="G20">
        <v>6.1</v>
      </c>
      <c r="H20">
        <v>6.95</v>
      </c>
    </row>
    <row r="21" spans="1:8" x14ac:dyDescent="0.3">
      <c r="A21" s="72" t="s">
        <v>147</v>
      </c>
      <c r="B21">
        <v>2.5</v>
      </c>
      <c r="C21">
        <v>2.91</v>
      </c>
      <c r="D21">
        <v>3.61</v>
      </c>
      <c r="E21">
        <v>4.22</v>
      </c>
      <c r="F21">
        <v>5.1100000000000003</v>
      </c>
      <c r="G21">
        <v>5.83</v>
      </c>
      <c r="H21">
        <v>6.58</v>
      </c>
    </row>
    <row r="22" spans="1:8" x14ac:dyDescent="0.3">
      <c r="A22" s="72" t="s">
        <v>148</v>
      </c>
      <c r="B22">
        <v>2.2400000000000002</v>
      </c>
      <c r="C22">
        <v>2.62</v>
      </c>
      <c r="D22">
        <v>3.26</v>
      </c>
      <c r="E22">
        <v>3.81</v>
      </c>
      <c r="F22">
        <v>4.59</v>
      </c>
      <c r="G22">
        <v>5.21</v>
      </c>
      <c r="H22">
        <v>5.85</v>
      </c>
    </row>
    <row r="23" spans="1:8" x14ac:dyDescent="0.3">
      <c r="A23" s="72" t="s">
        <v>149</v>
      </c>
      <c r="B23">
        <v>2.4</v>
      </c>
      <c r="C23">
        <v>2.8</v>
      </c>
      <c r="D23">
        <v>3.51</v>
      </c>
      <c r="E23">
        <v>4.1399999999999997</v>
      </c>
      <c r="F23">
        <v>5.08</v>
      </c>
      <c r="G23">
        <v>5.86</v>
      </c>
      <c r="H23">
        <v>6.69</v>
      </c>
    </row>
    <row r="24" spans="1:8" x14ac:dyDescent="0.3">
      <c r="A24" s="72" t="s">
        <v>150</v>
      </c>
      <c r="B24">
        <v>1.71</v>
      </c>
      <c r="C24">
        <v>2.0099999999999998</v>
      </c>
      <c r="D24">
        <v>2.52</v>
      </c>
      <c r="E24">
        <v>2.96</v>
      </c>
      <c r="F24">
        <v>3.59</v>
      </c>
      <c r="G24">
        <v>4.0999999999999996</v>
      </c>
      <c r="H24">
        <v>4.63</v>
      </c>
    </row>
    <row r="25" spans="1:8" x14ac:dyDescent="0.3">
      <c r="A25" s="72" t="s">
        <v>151</v>
      </c>
      <c r="B25">
        <v>2.2599999999999998</v>
      </c>
      <c r="C25">
        <v>2.61</v>
      </c>
      <c r="D25">
        <v>3.23</v>
      </c>
      <c r="E25">
        <v>3.79</v>
      </c>
      <c r="F25">
        <v>4.6100000000000003</v>
      </c>
      <c r="G25">
        <v>5.3</v>
      </c>
      <c r="H25">
        <v>6.02</v>
      </c>
    </row>
    <row r="26" spans="1:8" x14ac:dyDescent="0.3">
      <c r="A26" s="72" t="s">
        <v>152</v>
      </c>
      <c r="B26">
        <v>1.86</v>
      </c>
      <c r="C26">
        <v>2.14</v>
      </c>
      <c r="D26">
        <v>2.64</v>
      </c>
      <c r="E26">
        <v>3.08</v>
      </c>
      <c r="F26">
        <v>3.76</v>
      </c>
      <c r="G26">
        <v>4.32</v>
      </c>
      <c r="H26">
        <v>4.92</v>
      </c>
    </row>
    <row r="27" spans="1:8" x14ac:dyDescent="0.3">
      <c r="A27" s="72" t="s">
        <v>153</v>
      </c>
      <c r="B27">
        <v>2.41</v>
      </c>
      <c r="C27">
        <v>2.78</v>
      </c>
      <c r="D27">
        <v>3.43</v>
      </c>
      <c r="E27">
        <v>4</v>
      </c>
      <c r="F27">
        <v>4.84</v>
      </c>
      <c r="G27">
        <v>5.52</v>
      </c>
      <c r="H27">
        <v>6.24</v>
      </c>
    </row>
    <row r="28" spans="1:8" x14ac:dyDescent="0.3">
      <c r="A28" s="72" t="s">
        <v>154</v>
      </c>
      <c r="B28">
        <v>2.64</v>
      </c>
      <c r="C28">
        <v>3.03</v>
      </c>
      <c r="D28">
        <v>3.73</v>
      </c>
      <c r="E28">
        <v>4.3600000000000003</v>
      </c>
      <c r="F28">
        <v>5.3</v>
      </c>
      <c r="G28">
        <v>6.09</v>
      </c>
      <c r="H28">
        <v>6.94</v>
      </c>
    </row>
    <row r="29" spans="1:8" x14ac:dyDescent="0.3">
      <c r="A29" s="72" t="s">
        <v>63</v>
      </c>
      <c r="B29">
        <v>2.61</v>
      </c>
      <c r="C29">
        <v>2.97</v>
      </c>
      <c r="D29">
        <v>3.65</v>
      </c>
      <c r="E29">
        <v>4.28</v>
      </c>
      <c r="F29">
        <v>5.26</v>
      </c>
      <c r="G29">
        <v>6.11</v>
      </c>
      <c r="H29">
        <v>7.03</v>
      </c>
    </row>
    <row r="30" spans="1:8" x14ac:dyDescent="0.3">
      <c r="A30" s="72" t="s">
        <v>155</v>
      </c>
      <c r="B30">
        <v>1.97</v>
      </c>
      <c r="C30">
        <v>2.3199999999999998</v>
      </c>
      <c r="D30">
        <v>2.92</v>
      </c>
      <c r="E30">
        <v>3.45</v>
      </c>
      <c r="F30">
        <v>4.22</v>
      </c>
      <c r="G30">
        <v>4.8499999999999996</v>
      </c>
      <c r="H30">
        <v>5.5</v>
      </c>
    </row>
    <row r="31" spans="1:8" x14ac:dyDescent="0.3">
      <c r="A31" s="72" t="s">
        <v>156</v>
      </c>
      <c r="B31">
        <v>2.54</v>
      </c>
      <c r="C31">
        <v>2.99</v>
      </c>
      <c r="D31">
        <v>3.78</v>
      </c>
      <c r="E31">
        <v>4.49</v>
      </c>
      <c r="F31">
        <v>5.54</v>
      </c>
      <c r="G31">
        <v>6.42</v>
      </c>
      <c r="H31">
        <v>7.35</v>
      </c>
    </row>
    <row r="32" spans="1:8" x14ac:dyDescent="0.3">
      <c r="A32" s="72" t="s">
        <v>64</v>
      </c>
      <c r="B32">
        <v>2.4</v>
      </c>
      <c r="C32">
        <v>2.78</v>
      </c>
      <c r="D32">
        <v>3.45</v>
      </c>
      <c r="E32">
        <v>4.07</v>
      </c>
      <c r="F32">
        <v>5</v>
      </c>
      <c r="G32">
        <v>5.78</v>
      </c>
      <c r="H32">
        <v>6.61</v>
      </c>
    </row>
    <row r="33" spans="1:8" x14ac:dyDescent="0.3">
      <c r="A33" s="72" t="s">
        <v>157</v>
      </c>
      <c r="B33">
        <v>2.17</v>
      </c>
      <c r="C33">
        <v>2.5099999999999998</v>
      </c>
      <c r="D33">
        <v>3.09</v>
      </c>
      <c r="E33">
        <v>3.61</v>
      </c>
      <c r="F33">
        <v>4.37</v>
      </c>
      <c r="G33">
        <v>4.99</v>
      </c>
      <c r="H33">
        <v>5.65</v>
      </c>
    </row>
    <row r="34" spans="1:8" x14ac:dyDescent="0.3">
      <c r="A34" s="72" t="s">
        <v>158</v>
      </c>
      <c r="B34">
        <v>2.31</v>
      </c>
      <c r="C34">
        <v>2.67</v>
      </c>
      <c r="D34">
        <v>3.3</v>
      </c>
      <c r="E34">
        <v>3.86</v>
      </c>
      <c r="F34">
        <v>4.66</v>
      </c>
      <c r="G34">
        <v>5.32</v>
      </c>
      <c r="H34">
        <v>6.01</v>
      </c>
    </row>
    <row r="35" spans="1:8" x14ac:dyDescent="0.3">
      <c r="A35" s="72" t="s">
        <v>159</v>
      </c>
      <c r="B35">
        <v>2.66</v>
      </c>
      <c r="C35">
        <v>3.08</v>
      </c>
      <c r="D35">
        <v>3.83</v>
      </c>
      <c r="E35">
        <v>4.5199999999999996</v>
      </c>
      <c r="F35">
        <v>5.54</v>
      </c>
      <c r="G35">
        <v>6.41</v>
      </c>
      <c r="H35">
        <v>7.33</v>
      </c>
    </row>
    <row r="36" spans="1:8" x14ac:dyDescent="0.3">
      <c r="A36" s="72" t="s">
        <v>160</v>
      </c>
      <c r="B36">
        <v>1.8</v>
      </c>
      <c r="C36">
        <v>2.06</v>
      </c>
      <c r="D36">
        <v>2.5299999999999998</v>
      </c>
      <c r="E36">
        <v>2.95</v>
      </c>
      <c r="F36">
        <v>3.58</v>
      </c>
      <c r="G36">
        <v>4.1100000000000003</v>
      </c>
      <c r="H36">
        <v>4.66</v>
      </c>
    </row>
    <row r="37" spans="1:8" x14ac:dyDescent="0.3">
      <c r="A37" s="72" t="s">
        <v>161</v>
      </c>
      <c r="B37">
        <v>2.2200000000000002</v>
      </c>
      <c r="C37">
        <v>2.56</v>
      </c>
      <c r="D37">
        <v>3.15</v>
      </c>
      <c r="E37">
        <v>3.67</v>
      </c>
      <c r="F37">
        <v>4.42</v>
      </c>
      <c r="G37">
        <v>5.04</v>
      </c>
      <c r="H37">
        <v>5.68</v>
      </c>
    </row>
    <row r="38" spans="1:8" x14ac:dyDescent="0.3">
      <c r="A38" s="72" t="s">
        <v>162</v>
      </c>
      <c r="B38">
        <v>2.2999999999999998</v>
      </c>
      <c r="C38">
        <v>2.65</v>
      </c>
      <c r="D38">
        <v>3.27</v>
      </c>
      <c r="E38">
        <v>3.81</v>
      </c>
      <c r="F38">
        <v>4.62</v>
      </c>
      <c r="G38">
        <v>5.28</v>
      </c>
      <c r="H38">
        <v>5.98</v>
      </c>
    </row>
    <row r="39" spans="1:8" x14ac:dyDescent="0.3">
      <c r="A39" s="72" t="s">
        <v>163</v>
      </c>
      <c r="B39">
        <v>1.87</v>
      </c>
      <c r="C39">
        <v>2.1800000000000002</v>
      </c>
      <c r="D39">
        <v>2.7</v>
      </c>
      <c r="E39">
        <v>3.16</v>
      </c>
      <c r="F39">
        <v>3.83</v>
      </c>
      <c r="G39">
        <v>4.38</v>
      </c>
      <c r="H39">
        <v>4.96</v>
      </c>
    </row>
    <row r="40" spans="1:8" x14ac:dyDescent="0.3">
      <c r="A40" s="72" t="s">
        <v>164</v>
      </c>
      <c r="B40">
        <v>2.2999999999999998</v>
      </c>
      <c r="C40">
        <v>2.68</v>
      </c>
      <c r="D40">
        <v>3.35</v>
      </c>
      <c r="E40">
        <v>3.97</v>
      </c>
      <c r="F40">
        <v>4.88</v>
      </c>
      <c r="G40">
        <v>5.65</v>
      </c>
      <c r="H40">
        <v>6.47</v>
      </c>
    </row>
    <row r="41" spans="1:8" x14ac:dyDescent="0.3">
      <c r="A41" s="72" t="s">
        <v>165</v>
      </c>
      <c r="B41">
        <v>2.41</v>
      </c>
      <c r="C41">
        <v>2.8</v>
      </c>
      <c r="D41">
        <v>3.5</v>
      </c>
      <c r="E41">
        <v>4.13</v>
      </c>
      <c r="F41">
        <v>5.07</v>
      </c>
      <c r="G41">
        <v>5.85</v>
      </c>
      <c r="H41">
        <v>6.69</v>
      </c>
    </row>
    <row r="42" spans="1:8" x14ac:dyDescent="0.3">
      <c r="A42" s="72" t="s">
        <v>166</v>
      </c>
      <c r="B42">
        <v>2.48</v>
      </c>
      <c r="C42">
        <v>2.91</v>
      </c>
      <c r="D42">
        <v>3.65</v>
      </c>
      <c r="E42">
        <v>4.33</v>
      </c>
      <c r="F42">
        <v>5.33</v>
      </c>
      <c r="G42">
        <v>6.17</v>
      </c>
      <c r="H42">
        <v>7.06</v>
      </c>
    </row>
    <row r="43" spans="1:8" x14ac:dyDescent="0.3">
      <c r="A43" s="72" t="s">
        <v>167</v>
      </c>
      <c r="B43">
        <v>2.36</v>
      </c>
      <c r="C43">
        <v>2.73</v>
      </c>
      <c r="D43">
        <v>3.38</v>
      </c>
      <c r="E43">
        <v>3.97</v>
      </c>
      <c r="F43">
        <v>4.84</v>
      </c>
      <c r="G43">
        <v>5.56</v>
      </c>
      <c r="H43">
        <v>6.32</v>
      </c>
    </row>
    <row r="44" spans="1:8" x14ac:dyDescent="0.3">
      <c r="A44" s="72" t="s">
        <v>168</v>
      </c>
      <c r="B44">
        <v>2.08</v>
      </c>
      <c r="C44">
        <v>2.4300000000000002</v>
      </c>
      <c r="D44">
        <v>3.02</v>
      </c>
      <c r="E44">
        <v>3.52</v>
      </c>
      <c r="F44">
        <v>4.24</v>
      </c>
      <c r="G44">
        <v>4.8</v>
      </c>
      <c r="H44">
        <v>5.39</v>
      </c>
    </row>
    <row r="45" spans="1:8" x14ac:dyDescent="0.3">
      <c r="A45" s="72" t="s">
        <v>169</v>
      </c>
      <c r="B45">
        <v>2.1</v>
      </c>
      <c r="C45">
        <v>2.46</v>
      </c>
      <c r="D45">
        <v>3.07</v>
      </c>
      <c r="E45">
        <v>3.59</v>
      </c>
      <c r="F45">
        <v>4.33</v>
      </c>
      <c r="G45">
        <v>4.92</v>
      </c>
      <c r="H45">
        <v>5.52</v>
      </c>
    </row>
    <row r="46" spans="1:8" x14ac:dyDescent="0.3">
      <c r="A46" s="72" t="s">
        <v>65</v>
      </c>
      <c r="B46">
        <v>2.2599999999999998</v>
      </c>
      <c r="C46">
        <v>2.58</v>
      </c>
      <c r="D46">
        <v>3.13</v>
      </c>
      <c r="E46">
        <v>3.61</v>
      </c>
      <c r="F46">
        <v>4.3</v>
      </c>
      <c r="G46">
        <v>4.8600000000000003</v>
      </c>
      <c r="H46">
        <v>5.45</v>
      </c>
    </row>
    <row r="47" spans="1:8" x14ac:dyDescent="0.3">
      <c r="A47" s="72" t="s">
        <v>170</v>
      </c>
      <c r="B47">
        <v>1.96</v>
      </c>
      <c r="C47">
        <v>2.2999999999999998</v>
      </c>
      <c r="D47">
        <v>2.88</v>
      </c>
      <c r="E47">
        <v>3.37</v>
      </c>
      <c r="F47">
        <v>4.0599999999999996</v>
      </c>
      <c r="G47">
        <v>4.6100000000000003</v>
      </c>
      <c r="H47">
        <v>5.17</v>
      </c>
    </row>
    <row r="48" spans="1:8" x14ac:dyDescent="0.3">
      <c r="A48" s="72" t="s">
        <v>66</v>
      </c>
      <c r="B48">
        <v>2.33</v>
      </c>
      <c r="C48">
        <v>2.69</v>
      </c>
      <c r="D48">
        <v>3.35</v>
      </c>
      <c r="E48">
        <v>3.96</v>
      </c>
      <c r="F48">
        <v>4.91</v>
      </c>
      <c r="G48">
        <v>5.73</v>
      </c>
      <c r="H48">
        <v>6.61</v>
      </c>
    </row>
    <row r="49" spans="1:8" x14ac:dyDescent="0.3">
      <c r="A49" s="72" t="s">
        <v>67</v>
      </c>
      <c r="B49">
        <v>2.65</v>
      </c>
      <c r="C49">
        <v>3.1</v>
      </c>
      <c r="D49">
        <v>3.88</v>
      </c>
      <c r="E49">
        <v>4.59</v>
      </c>
      <c r="F49">
        <v>5.63</v>
      </c>
      <c r="G49">
        <v>6.48</v>
      </c>
      <c r="H49">
        <v>7.39</v>
      </c>
    </row>
    <row r="50" spans="1:8" x14ac:dyDescent="0.3">
      <c r="A50" s="72" t="s">
        <v>68</v>
      </c>
      <c r="B50">
        <v>2.74</v>
      </c>
      <c r="C50">
        <v>3.18</v>
      </c>
      <c r="D50">
        <v>3.96</v>
      </c>
      <c r="E50">
        <v>4.68</v>
      </c>
      <c r="F50">
        <v>5.77</v>
      </c>
      <c r="G50">
        <v>6.69</v>
      </c>
      <c r="H50">
        <v>7.69</v>
      </c>
    </row>
    <row r="51" spans="1:8" x14ac:dyDescent="0.3">
      <c r="A51" s="72" t="s">
        <v>171</v>
      </c>
      <c r="B51">
        <v>2.4300000000000002</v>
      </c>
      <c r="C51">
        <v>2.81</v>
      </c>
      <c r="D51">
        <v>3.49</v>
      </c>
      <c r="E51">
        <v>4.09</v>
      </c>
      <c r="F51">
        <v>4.99</v>
      </c>
      <c r="G51">
        <v>5.73</v>
      </c>
      <c r="H51">
        <v>6.52</v>
      </c>
    </row>
    <row r="52" spans="1:8" x14ac:dyDescent="0.3">
      <c r="A52" s="72" t="s">
        <v>172</v>
      </c>
      <c r="B52">
        <v>1.91</v>
      </c>
      <c r="C52">
        <v>2.21</v>
      </c>
      <c r="D52">
        <v>2.72</v>
      </c>
      <c r="E52">
        <v>3.17</v>
      </c>
      <c r="F52">
        <v>3.85</v>
      </c>
      <c r="G52">
        <v>4.41</v>
      </c>
      <c r="H52">
        <v>5</v>
      </c>
    </row>
    <row r="53" spans="1:8" x14ac:dyDescent="0.3">
      <c r="A53" s="72" t="s">
        <v>173</v>
      </c>
      <c r="B53">
        <v>2.11</v>
      </c>
      <c r="C53">
        <v>2.41</v>
      </c>
      <c r="D53">
        <v>2.93</v>
      </c>
      <c r="E53">
        <v>3.39</v>
      </c>
      <c r="F53">
        <v>4.0599999999999996</v>
      </c>
      <c r="G53">
        <v>4.6100000000000003</v>
      </c>
      <c r="H53">
        <v>5.18</v>
      </c>
    </row>
    <row r="54" spans="1:8" x14ac:dyDescent="0.3">
      <c r="A54" s="72" t="s">
        <v>174</v>
      </c>
      <c r="B54">
        <v>1.66</v>
      </c>
      <c r="C54">
        <v>1.93</v>
      </c>
      <c r="D54">
        <v>2.39</v>
      </c>
      <c r="E54">
        <v>2.8</v>
      </c>
      <c r="F54">
        <v>3.4</v>
      </c>
      <c r="G54">
        <v>3.9</v>
      </c>
      <c r="H54">
        <v>4.42</v>
      </c>
    </row>
    <row r="55" spans="1:8" x14ac:dyDescent="0.3">
      <c r="A55" s="72" t="s">
        <v>69</v>
      </c>
      <c r="B55">
        <v>2.2999999999999998</v>
      </c>
      <c r="C55">
        <v>2.65</v>
      </c>
      <c r="D55">
        <v>3.25</v>
      </c>
      <c r="E55">
        <v>3.76</v>
      </c>
      <c r="F55">
        <v>4.49</v>
      </c>
      <c r="G55">
        <v>5.08</v>
      </c>
      <c r="H55">
        <v>5.68</v>
      </c>
    </row>
    <row r="56" spans="1:8" x14ac:dyDescent="0.3">
      <c r="A56" s="72" t="s">
        <v>175</v>
      </c>
      <c r="B56">
        <v>2.61</v>
      </c>
      <c r="C56">
        <v>3.02</v>
      </c>
      <c r="D56">
        <v>3.77</v>
      </c>
      <c r="E56">
        <v>4.46</v>
      </c>
      <c r="F56">
        <v>5.49</v>
      </c>
      <c r="G56">
        <v>6.36</v>
      </c>
      <c r="H56">
        <v>7.29</v>
      </c>
    </row>
    <row r="57" spans="1:8" x14ac:dyDescent="0.3">
      <c r="A57" s="72" t="s">
        <v>70</v>
      </c>
      <c r="B57">
        <v>2.0499999999999998</v>
      </c>
      <c r="C57">
        <v>2.35</v>
      </c>
      <c r="D57">
        <v>2.88</v>
      </c>
      <c r="E57">
        <v>3.35</v>
      </c>
      <c r="F57">
        <v>4.05</v>
      </c>
      <c r="G57">
        <v>4.62</v>
      </c>
      <c r="H57">
        <v>5.22</v>
      </c>
    </row>
    <row r="58" spans="1:8" x14ac:dyDescent="0.3">
      <c r="A58" s="72" t="s">
        <v>176</v>
      </c>
      <c r="B58">
        <v>2.08</v>
      </c>
      <c r="C58">
        <v>2.41</v>
      </c>
      <c r="D58">
        <v>2.97</v>
      </c>
      <c r="E58">
        <v>3.44</v>
      </c>
      <c r="F58">
        <v>4.1100000000000003</v>
      </c>
      <c r="G58">
        <v>4.63</v>
      </c>
      <c r="H58">
        <v>5.17</v>
      </c>
    </row>
    <row r="59" spans="1:8" x14ac:dyDescent="0.3">
      <c r="A59" s="72" t="s">
        <v>177</v>
      </c>
      <c r="B59">
        <v>2.17</v>
      </c>
      <c r="C59">
        <v>2.5299999999999998</v>
      </c>
      <c r="D59">
        <v>3.13</v>
      </c>
      <c r="E59">
        <v>3.66</v>
      </c>
      <c r="F59">
        <v>4.42</v>
      </c>
      <c r="G59">
        <v>5.0199999999999996</v>
      </c>
      <c r="H59">
        <v>5.65</v>
      </c>
    </row>
    <row r="60" spans="1:8" x14ac:dyDescent="0.3">
      <c r="A60" s="72" t="s">
        <v>71</v>
      </c>
      <c r="B60">
        <v>2.41</v>
      </c>
      <c r="C60">
        <v>2.8</v>
      </c>
      <c r="D60">
        <v>3.46</v>
      </c>
      <c r="E60">
        <v>4.05</v>
      </c>
      <c r="F60">
        <v>4.91</v>
      </c>
      <c r="G60">
        <v>5.61</v>
      </c>
      <c r="H60">
        <v>6.34</v>
      </c>
    </row>
    <row r="61" spans="1:8" x14ac:dyDescent="0.3">
      <c r="A61" s="72" t="s">
        <v>178</v>
      </c>
      <c r="B61">
        <v>1.98</v>
      </c>
      <c r="C61">
        <v>2.31</v>
      </c>
      <c r="D61">
        <v>2.85</v>
      </c>
      <c r="E61">
        <v>3.32</v>
      </c>
      <c r="F61">
        <v>3.98</v>
      </c>
      <c r="G61">
        <v>4.51</v>
      </c>
      <c r="H61">
        <v>5.0599999999999996</v>
      </c>
    </row>
    <row r="62" spans="1:8" x14ac:dyDescent="0.3">
      <c r="A62" s="72" t="s">
        <v>179</v>
      </c>
      <c r="B62">
        <v>2.46</v>
      </c>
      <c r="C62">
        <v>2.85</v>
      </c>
      <c r="D62">
        <v>3.57</v>
      </c>
      <c r="E62">
        <v>4.2300000000000004</v>
      </c>
      <c r="F62">
        <v>5.24</v>
      </c>
      <c r="G62">
        <v>6.11</v>
      </c>
      <c r="H62">
        <v>7.04</v>
      </c>
    </row>
    <row r="63" spans="1:8" x14ac:dyDescent="0.3">
      <c r="A63" s="72" t="s">
        <v>180</v>
      </c>
      <c r="B63">
        <v>1.75</v>
      </c>
      <c r="C63">
        <v>2.0299999999999998</v>
      </c>
      <c r="D63">
        <v>2.5</v>
      </c>
      <c r="E63">
        <v>2.9</v>
      </c>
      <c r="F63">
        <v>3.47</v>
      </c>
      <c r="G63">
        <v>3.92</v>
      </c>
      <c r="H63">
        <v>4.37</v>
      </c>
    </row>
    <row r="64" spans="1:8" x14ac:dyDescent="0.3">
      <c r="A64" s="72" t="s">
        <v>181</v>
      </c>
      <c r="B64">
        <v>2.42</v>
      </c>
      <c r="C64">
        <v>2.81</v>
      </c>
      <c r="D64">
        <v>3.53</v>
      </c>
      <c r="E64">
        <v>4.2</v>
      </c>
      <c r="F64">
        <v>5.22</v>
      </c>
      <c r="G64">
        <v>6.08</v>
      </c>
      <c r="H64">
        <v>7.02</v>
      </c>
    </row>
    <row r="65" spans="1:8" x14ac:dyDescent="0.3">
      <c r="A65" s="72" t="s">
        <v>182</v>
      </c>
      <c r="B65">
        <v>2.8</v>
      </c>
      <c r="C65">
        <v>3.22</v>
      </c>
      <c r="D65">
        <v>3.99</v>
      </c>
      <c r="E65">
        <v>4.72</v>
      </c>
      <c r="F65">
        <v>5.83</v>
      </c>
      <c r="G65">
        <v>6.78</v>
      </c>
      <c r="H65">
        <v>7.81</v>
      </c>
    </row>
    <row r="66" spans="1:8" x14ac:dyDescent="0.3">
      <c r="A66" s="72" t="s">
        <v>183</v>
      </c>
      <c r="B66">
        <v>2.46</v>
      </c>
      <c r="C66">
        <v>2.84</v>
      </c>
      <c r="D66">
        <v>3.54</v>
      </c>
      <c r="E66">
        <v>4.1900000000000004</v>
      </c>
      <c r="F66">
        <v>5.17</v>
      </c>
      <c r="G66">
        <v>6.01</v>
      </c>
      <c r="H66">
        <v>6.91</v>
      </c>
    </row>
    <row r="67" spans="1:8" x14ac:dyDescent="0.3">
      <c r="A67" s="72" t="s">
        <v>184</v>
      </c>
      <c r="B67">
        <v>2.73</v>
      </c>
      <c r="C67">
        <v>3.18</v>
      </c>
      <c r="D67">
        <v>3.98</v>
      </c>
      <c r="E67">
        <v>4.7300000000000004</v>
      </c>
      <c r="F67">
        <v>5.86</v>
      </c>
      <c r="G67">
        <v>6.82</v>
      </c>
      <c r="H67">
        <v>7.86</v>
      </c>
    </row>
    <row r="68" spans="1:8" x14ac:dyDescent="0.3">
      <c r="A68" s="72" t="s">
        <v>185</v>
      </c>
      <c r="B68">
        <v>2.77</v>
      </c>
      <c r="C68">
        <v>3.21</v>
      </c>
      <c r="D68">
        <v>4</v>
      </c>
      <c r="E68">
        <v>4.71</v>
      </c>
      <c r="F68">
        <v>5.79</v>
      </c>
      <c r="G68">
        <v>6.69</v>
      </c>
      <c r="H68">
        <v>7.66</v>
      </c>
    </row>
    <row r="69" spans="1:8" x14ac:dyDescent="0.3">
      <c r="A69" s="72" t="s">
        <v>186</v>
      </c>
      <c r="B69">
        <v>1.95</v>
      </c>
      <c r="C69">
        <v>2.27</v>
      </c>
      <c r="D69">
        <v>2.81</v>
      </c>
      <c r="E69">
        <v>3.29</v>
      </c>
      <c r="F69">
        <v>3.99</v>
      </c>
      <c r="G69">
        <v>4.5599999999999996</v>
      </c>
      <c r="H69">
        <v>5.16</v>
      </c>
    </row>
    <row r="70" spans="1:8" x14ac:dyDescent="0.3">
      <c r="A70" s="72" t="s">
        <v>72</v>
      </c>
      <c r="B70">
        <v>2.38</v>
      </c>
      <c r="C70">
        <v>2.74</v>
      </c>
      <c r="D70">
        <v>3.38</v>
      </c>
      <c r="E70">
        <v>3.94</v>
      </c>
      <c r="F70">
        <v>4.7699999999999996</v>
      </c>
      <c r="G70">
        <v>5.45</v>
      </c>
      <c r="H70">
        <v>6.16</v>
      </c>
    </row>
    <row r="71" spans="1:8" x14ac:dyDescent="0.3">
      <c r="A71" s="72" t="s">
        <v>187</v>
      </c>
      <c r="B71">
        <v>2.37</v>
      </c>
      <c r="C71">
        <v>2.72</v>
      </c>
      <c r="D71">
        <v>3.32</v>
      </c>
      <c r="E71">
        <v>3.83</v>
      </c>
      <c r="F71">
        <v>4.57</v>
      </c>
      <c r="G71">
        <v>5.17</v>
      </c>
      <c r="H71">
        <v>5.79</v>
      </c>
    </row>
    <row r="72" spans="1:8" x14ac:dyDescent="0.3">
      <c r="A72" s="72" t="s">
        <v>73</v>
      </c>
      <c r="B72">
        <v>2.4500000000000002</v>
      </c>
      <c r="C72">
        <v>2.83</v>
      </c>
      <c r="D72">
        <v>3.53</v>
      </c>
      <c r="E72">
        <v>4.17</v>
      </c>
      <c r="F72">
        <v>5.15</v>
      </c>
      <c r="G72">
        <v>5.98</v>
      </c>
      <c r="H72">
        <v>6.88</v>
      </c>
    </row>
    <row r="73" spans="1:8" x14ac:dyDescent="0.3">
      <c r="A73" s="72" t="s">
        <v>74</v>
      </c>
      <c r="B73">
        <v>2.5099999999999998</v>
      </c>
      <c r="C73">
        <v>2.91</v>
      </c>
      <c r="D73">
        <v>3.66</v>
      </c>
      <c r="E73">
        <v>4.3499999999999996</v>
      </c>
      <c r="F73">
        <v>5.41</v>
      </c>
      <c r="G73">
        <v>6.32</v>
      </c>
      <c r="H73">
        <v>7.31</v>
      </c>
    </row>
    <row r="74" spans="1:8" x14ac:dyDescent="0.3">
      <c r="A74" s="72" t="s">
        <v>188</v>
      </c>
      <c r="B74">
        <v>2.2000000000000002</v>
      </c>
      <c r="C74">
        <v>2.56</v>
      </c>
      <c r="D74">
        <v>3.17</v>
      </c>
      <c r="E74">
        <v>3.69</v>
      </c>
      <c r="F74">
        <v>4.45</v>
      </c>
      <c r="G74">
        <v>5.05</v>
      </c>
      <c r="H74">
        <v>5.68</v>
      </c>
    </row>
    <row r="75" spans="1:8" x14ac:dyDescent="0.3">
      <c r="A75" s="72" t="s">
        <v>189</v>
      </c>
      <c r="B75">
        <v>2.86</v>
      </c>
      <c r="C75">
        <v>3.31</v>
      </c>
      <c r="D75">
        <v>4.12</v>
      </c>
      <c r="E75">
        <v>4.87</v>
      </c>
      <c r="F75">
        <v>6</v>
      </c>
      <c r="G75">
        <v>6.95</v>
      </c>
      <c r="H75">
        <v>7.97</v>
      </c>
    </row>
    <row r="76" spans="1:8" x14ac:dyDescent="0.3">
      <c r="A76" s="72" t="s">
        <v>190</v>
      </c>
      <c r="B76">
        <v>2.16</v>
      </c>
      <c r="C76">
        <v>2.48</v>
      </c>
      <c r="D76">
        <v>3.02</v>
      </c>
      <c r="E76">
        <v>3.5</v>
      </c>
      <c r="F76">
        <v>4.2</v>
      </c>
      <c r="G76">
        <v>4.76</v>
      </c>
      <c r="H76">
        <v>5.35</v>
      </c>
    </row>
    <row r="77" spans="1:8" x14ac:dyDescent="0.3">
      <c r="A77" s="72" t="s">
        <v>75</v>
      </c>
      <c r="B77">
        <v>2.57</v>
      </c>
      <c r="C77">
        <v>3</v>
      </c>
      <c r="D77">
        <v>3.77</v>
      </c>
      <c r="E77">
        <v>4.47</v>
      </c>
      <c r="F77">
        <v>5.53</v>
      </c>
      <c r="G77">
        <v>6.42</v>
      </c>
      <c r="H77">
        <v>7.38</v>
      </c>
    </row>
    <row r="78" spans="1:8" x14ac:dyDescent="0.3">
      <c r="A78" s="72" t="s">
        <v>191</v>
      </c>
      <c r="B78">
        <v>2.64</v>
      </c>
      <c r="C78">
        <v>3.03</v>
      </c>
      <c r="D78">
        <v>3.76</v>
      </c>
      <c r="E78">
        <v>4.43</v>
      </c>
      <c r="F78">
        <v>5.47</v>
      </c>
      <c r="G78">
        <v>6.36</v>
      </c>
      <c r="H78">
        <v>7.32</v>
      </c>
    </row>
    <row r="79" spans="1:8" x14ac:dyDescent="0.3">
      <c r="A79" s="72" t="s">
        <v>192</v>
      </c>
      <c r="B79">
        <v>2.62</v>
      </c>
      <c r="C79">
        <v>3.02</v>
      </c>
      <c r="D79">
        <v>3.73</v>
      </c>
      <c r="E79">
        <v>4.37</v>
      </c>
      <c r="F79">
        <v>5.33</v>
      </c>
      <c r="G79">
        <v>6.13</v>
      </c>
      <c r="H79">
        <v>6.98</v>
      </c>
    </row>
    <row r="80" spans="1:8" x14ac:dyDescent="0.3">
      <c r="A80" s="72" t="s">
        <v>193</v>
      </c>
      <c r="B80">
        <v>1.57</v>
      </c>
      <c r="C80">
        <v>1.83</v>
      </c>
      <c r="D80">
        <v>2.27</v>
      </c>
      <c r="E80">
        <v>2.64</v>
      </c>
      <c r="F80">
        <v>3.16</v>
      </c>
      <c r="G80">
        <v>3.58</v>
      </c>
      <c r="H80">
        <v>3.99</v>
      </c>
    </row>
    <row r="81" spans="1:8" x14ac:dyDescent="0.3">
      <c r="A81" s="72" t="s">
        <v>194</v>
      </c>
      <c r="B81">
        <v>2.54</v>
      </c>
      <c r="C81">
        <v>2.95</v>
      </c>
      <c r="D81">
        <v>3.69</v>
      </c>
      <c r="E81">
        <v>4.38</v>
      </c>
      <c r="F81">
        <v>5.44</v>
      </c>
      <c r="G81">
        <v>6.35</v>
      </c>
      <c r="H81">
        <v>7.32</v>
      </c>
    </row>
    <row r="82" spans="1:8" x14ac:dyDescent="0.3">
      <c r="A82" s="72" t="s">
        <v>195</v>
      </c>
      <c r="B82">
        <v>1.76</v>
      </c>
      <c r="C82">
        <v>2.0699999999999998</v>
      </c>
      <c r="D82">
        <v>2.58</v>
      </c>
      <c r="E82">
        <v>3.02</v>
      </c>
      <c r="F82">
        <v>3.64</v>
      </c>
      <c r="G82">
        <v>4.13</v>
      </c>
      <c r="H82">
        <v>4.6399999999999997</v>
      </c>
    </row>
    <row r="83" spans="1:8" x14ac:dyDescent="0.3">
      <c r="A83" s="72" t="s">
        <v>196</v>
      </c>
      <c r="B83">
        <v>2.2799999999999998</v>
      </c>
      <c r="C83">
        <v>2.66</v>
      </c>
      <c r="D83">
        <v>3.32</v>
      </c>
      <c r="E83">
        <v>3.92</v>
      </c>
      <c r="F83">
        <v>4.8099999999999996</v>
      </c>
      <c r="G83">
        <v>5.56</v>
      </c>
      <c r="H83">
        <v>6.35</v>
      </c>
    </row>
    <row r="84" spans="1:8" x14ac:dyDescent="0.3">
      <c r="A84" s="72" t="s">
        <v>197</v>
      </c>
      <c r="B84">
        <v>1.6</v>
      </c>
      <c r="C84">
        <v>1.88</v>
      </c>
      <c r="D84">
        <v>2.35</v>
      </c>
      <c r="E84">
        <v>2.76</v>
      </c>
      <c r="F84">
        <v>3.33</v>
      </c>
      <c r="G84">
        <v>3.8</v>
      </c>
      <c r="H84">
        <v>4.2699999999999996</v>
      </c>
    </row>
    <row r="85" spans="1:8" x14ac:dyDescent="0.3">
      <c r="A85" s="72" t="s">
        <v>198</v>
      </c>
      <c r="B85">
        <v>2.46</v>
      </c>
      <c r="C85">
        <v>2.83</v>
      </c>
      <c r="D85">
        <v>3.47</v>
      </c>
      <c r="E85">
        <v>4.04</v>
      </c>
      <c r="F85">
        <v>4.87</v>
      </c>
      <c r="G85">
        <v>5.55</v>
      </c>
      <c r="H85">
        <v>6.26</v>
      </c>
    </row>
    <row r="86" spans="1:8" x14ac:dyDescent="0.3">
      <c r="A86" s="72" t="s">
        <v>199</v>
      </c>
      <c r="B86">
        <v>2.5499999999999998</v>
      </c>
      <c r="C86">
        <v>2.98</v>
      </c>
      <c r="D86">
        <v>3.75</v>
      </c>
      <c r="E86">
        <v>4.46</v>
      </c>
      <c r="F86">
        <v>5.52</v>
      </c>
      <c r="G86">
        <v>6.41</v>
      </c>
      <c r="H86">
        <v>7.36</v>
      </c>
    </row>
    <row r="87" spans="1:8" x14ac:dyDescent="0.3">
      <c r="A87" s="72" t="s">
        <v>200</v>
      </c>
      <c r="B87">
        <v>2.02</v>
      </c>
      <c r="C87">
        <v>2.37</v>
      </c>
      <c r="D87">
        <v>2.96</v>
      </c>
      <c r="E87">
        <v>3.45</v>
      </c>
      <c r="F87">
        <v>4.12</v>
      </c>
      <c r="G87">
        <v>4.6399999999999997</v>
      </c>
      <c r="H87">
        <v>5.16</v>
      </c>
    </row>
    <row r="88" spans="1:8" x14ac:dyDescent="0.3">
      <c r="A88" s="72" t="s">
        <v>201</v>
      </c>
      <c r="B88">
        <v>2.42</v>
      </c>
      <c r="C88">
        <v>2.82</v>
      </c>
      <c r="D88">
        <v>3.51</v>
      </c>
      <c r="E88">
        <v>4.13</v>
      </c>
      <c r="F88">
        <v>5.05</v>
      </c>
      <c r="G88">
        <v>5.82</v>
      </c>
      <c r="H88">
        <v>6.63</v>
      </c>
    </row>
    <row r="89" spans="1:8" x14ac:dyDescent="0.3">
      <c r="A89" s="72" t="s">
        <v>202</v>
      </c>
      <c r="B89">
        <v>2.25</v>
      </c>
      <c r="C89">
        <v>2.61</v>
      </c>
      <c r="D89">
        <v>3.24</v>
      </c>
      <c r="E89">
        <v>3.81</v>
      </c>
      <c r="F89">
        <v>4.6399999999999997</v>
      </c>
      <c r="G89">
        <v>5.33</v>
      </c>
      <c r="H89">
        <v>6.05</v>
      </c>
    </row>
    <row r="90" spans="1:8" x14ac:dyDescent="0.3">
      <c r="A90" s="72" t="s">
        <v>76</v>
      </c>
      <c r="B90">
        <v>2.57</v>
      </c>
      <c r="C90">
        <v>2.94</v>
      </c>
      <c r="D90">
        <v>3.61</v>
      </c>
      <c r="E90">
        <v>4.24</v>
      </c>
      <c r="F90">
        <v>5.21</v>
      </c>
      <c r="G90">
        <v>6.04</v>
      </c>
      <c r="H90">
        <v>6.94</v>
      </c>
    </row>
    <row r="91" spans="1:8" x14ac:dyDescent="0.3">
      <c r="A91" s="72" t="s">
        <v>77</v>
      </c>
      <c r="B91">
        <v>2.38</v>
      </c>
      <c r="C91">
        <v>2.73</v>
      </c>
      <c r="D91">
        <v>3.33</v>
      </c>
      <c r="E91">
        <v>3.85</v>
      </c>
      <c r="F91">
        <v>4.6100000000000003</v>
      </c>
      <c r="G91">
        <v>5.21</v>
      </c>
      <c r="H91">
        <v>5.85</v>
      </c>
    </row>
    <row r="92" spans="1:8" x14ac:dyDescent="0.3">
      <c r="A92" s="72" t="s">
        <v>78</v>
      </c>
      <c r="B92">
        <v>2.4500000000000002</v>
      </c>
      <c r="C92">
        <v>2.84</v>
      </c>
      <c r="D92">
        <v>3.55</v>
      </c>
      <c r="E92">
        <v>4.1900000000000004</v>
      </c>
      <c r="F92">
        <v>5.16</v>
      </c>
      <c r="G92">
        <v>5.97</v>
      </c>
      <c r="H92">
        <v>6.83</v>
      </c>
    </row>
    <row r="93" spans="1:8" x14ac:dyDescent="0.3">
      <c r="A93" s="72" t="s">
        <v>203</v>
      </c>
      <c r="B93">
        <v>2.29</v>
      </c>
      <c r="C93">
        <v>2.64</v>
      </c>
      <c r="D93">
        <v>3.25</v>
      </c>
      <c r="E93">
        <v>3.79</v>
      </c>
      <c r="F93">
        <v>4.59</v>
      </c>
      <c r="G93">
        <v>5.26</v>
      </c>
      <c r="H93">
        <v>5.96</v>
      </c>
    </row>
    <row r="94" spans="1:8" x14ac:dyDescent="0.3">
      <c r="A94" s="72" t="s">
        <v>204</v>
      </c>
      <c r="B94">
        <v>2.54</v>
      </c>
      <c r="C94">
        <v>3</v>
      </c>
      <c r="D94">
        <v>3.8</v>
      </c>
      <c r="E94">
        <v>4.5199999999999996</v>
      </c>
      <c r="F94">
        <v>5.59</v>
      </c>
      <c r="G94">
        <v>6.49</v>
      </c>
      <c r="H94">
        <v>7.43</v>
      </c>
    </row>
    <row r="95" spans="1:8" x14ac:dyDescent="0.3">
      <c r="A95" s="11"/>
    </row>
    <row r="96" spans="1:8" x14ac:dyDescent="0.3">
      <c r="A96" s="11"/>
    </row>
    <row r="97" spans="1:1" x14ac:dyDescent="0.3">
      <c r="A97" s="11"/>
    </row>
    <row r="98" spans="1:1" x14ac:dyDescent="0.3">
      <c r="A98" s="11"/>
    </row>
    <row r="99" spans="1:1" x14ac:dyDescent="0.3">
      <c r="A99" s="11"/>
    </row>
    <row r="100" spans="1:1" x14ac:dyDescent="0.3">
      <c r="A100" s="11"/>
    </row>
    <row r="101" spans="1:1" x14ac:dyDescent="0.3">
      <c r="A101" s="11"/>
    </row>
    <row r="102" spans="1:1" x14ac:dyDescent="0.3">
      <c r="A102" s="11"/>
    </row>
    <row r="103" spans="1:1" x14ac:dyDescent="0.3">
      <c r="A103" s="11"/>
    </row>
    <row r="104" spans="1:1" x14ac:dyDescent="0.3">
      <c r="A104" s="11"/>
    </row>
    <row r="105" spans="1:1" x14ac:dyDescent="0.3">
      <c r="A105" s="11"/>
    </row>
    <row r="106" spans="1:1" x14ac:dyDescent="0.3">
      <c r="A106" s="11"/>
    </row>
    <row r="107" spans="1:1" x14ac:dyDescent="0.3">
      <c r="A107" s="11"/>
    </row>
    <row r="108" spans="1:1" x14ac:dyDescent="0.3">
      <c r="A108" s="11"/>
    </row>
    <row r="109" spans="1:1" x14ac:dyDescent="0.3">
      <c r="A109" s="11"/>
    </row>
    <row r="110" spans="1:1" x14ac:dyDescent="0.3">
      <c r="A110" s="11"/>
    </row>
    <row r="111" spans="1:1" x14ac:dyDescent="0.3">
      <c r="A111" s="11"/>
    </row>
    <row r="112" spans="1:1" x14ac:dyDescent="0.3">
      <c r="A112" s="11"/>
    </row>
    <row r="113" spans="1:1" x14ac:dyDescent="0.3">
      <c r="A113" s="11"/>
    </row>
    <row r="114" spans="1:1" x14ac:dyDescent="0.3">
      <c r="A114" s="11"/>
    </row>
    <row r="115" spans="1:1" x14ac:dyDescent="0.3">
      <c r="A115" s="11"/>
    </row>
  </sheetData>
  <sheetProtection algorithmName="SHA-512" hashValue="cHmCMGpqLkkw5is9oldboITdw+FrN7i7+QITL1Myt6/pNZNSHHGMXlsfeX7VCpJrDC/t5wU1F+x+OAgRR+r79w==" saltValue="eLsxeogbR6s5qg9Hg2DdqQ==" spinCount="100000" sheet="1" objects="1" scenarios="1"/>
  <mergeCells count="1">
    <mergeCell ref="T1:W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59"/>
  <sheetViews>
    <sheetView showGridLines="0" showRowColHeaders="0" topLeftCell="A13" zoomScale="80" zoomScaleNormal="80" zoomScaleSheetLayoutView="102" workbookViewId="0">
      <selection activeCell="B15" sqref="B15"/>
    </sheetView>
  </sheetViews>
  <sheetFormatPr defaultRowHeight="14.4" x14ac:dyDescent="0.3"/>
  <cols>
    <col min="1" max="1" width="26.109375" customWidth="1"/>
    <col min="2" max="2" width="25" customWidth="1"/>
    <col min="3" max="5" width="10.77734375" hidden="1" customWidth="1"/>
    <col min="6" max="6" width="12.6640625" hidden="1" customWidth="1"/>
    <col min="7" max="8" width="10.5546875" hidden="1" customWidth="1"/>
    <col min="9" max="9" width="7.6640625" hidden="1" customWidth="1"/>
    <col min="10" max="10" width="7.5546875" hidden="1" customWidth="1"/>
    <col min="11" max="11" width="5.6640625" hidden="1" customWidth="1"/>
    <col min="12" max="12" width="7.109375" hidden="1" customWidth="1"/>
    <col min="13" max="13" width="5.88671875" hidden="1" customWidth="1"/>
    <col min="14" max="14" width="6.33203125" hidden="1" customWidth="1"/>
    <col min="15" max="15" width="10.109375" hidden="1" customWidth="1"/>
    <col min="16" max="16" width="4.6640625" hidden="1" customWidth="1"/>
    <col min="17" max="17" width="6.33203125" hidden="1" customWidth="1"/>
    <col min="18" max="18" width="6.5546875" hidden="1" customWidth="1"/>
    <col min="19" max="19" width="10" customWidth="1"/>
    <col min="20" max="20" width="6.6640625" customWidth="1"/>
    <col min="21" max="21" width="2.6640625" customWidth="1"/>
    <col min="22" max="22" width="5.6640625" customWidth="1"/>
    <col min="23" max="23" width="6.6640625" customWidth="1"/>
    <col min="24" max="24" width="2.6640625" customWidth="1"/>
    <col min="25" max="25" width="5.6640625" customWidth="1"/>
    <col min="26" max="26" width="6.6640625" customWidth="1"/>
    <col min="27" max="27" width="2.6640625" customWidth="1"/>
    <col min="28" max="28" width="5.6640625" customWidth="1"/>
    <col min="29" max="29" width="6.6640625" customWidth="1"/>
    <col min="30" max="30" width="2.6640625" customWidth="1"/>
    <col min="31" max="31" width="5.6640625" customWidth="1"/>
    <col min="32" max="32" width="6.6640625" customWidth="1"/>
    <col min="33" max="33" width="2.6640625" customWidth="1"/>
    <col min="34" max="34" width="5.6640625" customWidth="1"/>
    <col min="35" max="35" width="6.6640625" customWidth="1"/>
    <col min="36" max="36" width="2.6640625" customWidth="1"/>
    <col min="37" max="37" width="5.6640625" customWidth="1"/>
  </cols>
  <sheetData>
    <row r="1" spans="1:49" ht="18" customHeight="1" x14ac:dyDescent="0.4">
      <c r="A1" s="153" t="s">
        <v>231</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row>
    <row r="2" spans="1:49" ht="18" customHeight="1" x14ac:dyDescent="0.4">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row>
    <row r="3" spans="1:49" ht="24" customHeight="1" x14ac:dyDescent="0.4">
      <c r="A3" s="42" t="s">
        <v>120</v>
      </c>
      <c r="B3" s="154"/>
      <c r="C3" s="154"/>
      <c r="D3" s="154"/>
      <c r="E3" s="154"/>
      <c r="F3" s="154"/>
      <c r="G3" s="154"/>
      <c r="H3" s="154"/>
      <c r="I3" s="154"/>
      <c r="J3" s="154"/>
      <c r="K3" s="154"/>
      <c r="L3" s="154"/>
      <c r="M3" s="154"/>
      <c r="N3" s="154"/>
      <c r="O3" s="154"/>
      <c r="P3" s="154"/>
      <c r="Q3" s="154"/>
      <c r="R3" s="154"/>
      <c r="S3" s="154"/>
      <c r="T3" s="154"/>
      <c r="U3" s="154"/>
      <c r="V3" s="154"/>
      <c r="W3" s="43"/>
      <c r="X3" s="43"/>
      <c r="Y3" s="42" t="s">
        <v>122</v>
      </c>
      <c r="Z3" s="156"/>
      <c r="AA3" s="156"/>
      <c r="AB3" s="156"/>
      <c r="AC3" s="42" t="s">
        <v>125</v>
      </c>
      <c r="AD3" s="42"/>
      <c r="AE3" s="158"/>
      <c r="AF3" s="158"/>
      <c r="AG3" s="158"/>
      <c r="AH3" s="158"/>
      <c r="AI3" s="43"/>
      <c r="AJ3" s="43"/>
      <c r="AK3" s="43"/>
    </row>
    <row r="4" spans="1:49" ht="24" customHeight="1" x14ac:dyDescent="0.4">
      <c r="A4" s="42" t="s">
        <v>121</v>
      </c>
      <c r="B4" s="155"/>
      <c r="C4" s="155"/>
      <c r="D4" s="155"/>
      <c r="E4" s="155"/>
      <c r="F4" s="155"/>
      <c r="G4" s="155"/>
      <c r="H4" s="155"/>
      <c r="I4" s="155"/>
      <c r="J4" s="155"/>
      <c r="K4" s="155"/>
      <c r="L4" s="155"/>
      <c r="M4" s="155"/>
      <c r="N4" s="155"/>
      <c r="O4" s="155"/>
      <c r="P4" s="155"/>
      <c r="Q4" s="155"/>
      <c r="R4" s="155"/>
      <c r="S4" s="155"/>
      <c r="T4" s="155"/>
      <c r="U4" s="155"/>
      <c r="V4" s="155"/>
      <c r="W4" s="43"/>
      <c r="X4" s="43"/>
      <c r="Y4" s="42" t="s">
        <v>123</v>
      </c>
      <c r="Z4" s="157"/>
      <c r="AA4" s="157"/>
      <c r="AB4" s="157"/>
      <c r="AC4" s="42" t="s">
        <v>124</v>
      </c>
      <c r="AD4" s="42"/>
      <c r="AE4" s="159"/>
      <c r="AF4" s="159"/>
      <c r="AG4" s="159"/>
      <c r="AH4" s="159"/>
      <c r="AI4" s="43"/>
      <c r="AJ4" s="43"/>
      <c r="AK4" s="43"/>
    </row>
    <row r="5" spans="1:49" ht="18" customHeight="1" x14ac:dyDescent="0.4">
      <c r="A5" s="44"/>
      <c r="B5" s="44"/>
      <c r="C5" s="44"/>
      <c r="D5" s="44"/>
      <c r="E5" s="44"/>
      <c r="F5" s="44"/>
      <c r="G5" s="44"/>
      <c r="H5" s="44"/>
      <c r="I5" s="44"/>
      <c r="J5" s="44"/>
      <c r="K5" s="44"/>
      <c r="L5" s="44"/>
      <c r="M5" s="44"/>
      <c r="N5" s="44"/>
      <c r="O5" s="44"/>
      <c r="P5" s="44"/>
      <c r="Q5" s="44"/>
      <c r="R5" s="44"/>
      <c r="S5" s="44"/>
      <c r="T5" s="44"/>
      <c r="U5" s="44"/>
      <c r="V5" s="44"/>
      <c r="W5" s="43"/>
      <c r="X5" s="43"/>
      <c r="Y5" s="43"/>
      <c r="Z5" s="43"/>
      <c r="AA5" s="43"/>
      <c r="AB5" s="43"/>
      <c r="AC5" s="43"/>
      <c r="AD5" s="43"/>
      <c r="AE5" s="43"/>
      <c r="AF5" s="43"/>
      <c r="AG5" s="43"/>
      <c r="AH5" s="43"/>
      <c r="AI5" s="43"/>
      <c r="AJ5" s="43"/>
      <c r="AK5" s="43"/>
    </row>
    <row r="6" spans="1:49" ht="18" customHeight="1" x14ac:dyDescent="0.3">
      <c r="A6" s="42" t="s">
        <v>109</v>
      </c>
      <c r="B6" s="59">
        <v>2</v>
      </c>
      <c r="C6" s="43"/>
      <c r="D6" s="43"/>
      <c r="E6" s="43"/>
      <c r="F6" s="43"/>
      <c r="G6" s="43"/>
      <c r="H6" s="45" t="s">
        <v>97</v>
      </c>
      <c r="I6" s="45">
        <f>MATCH(B6,County!B1:H1)</f>
        <v>2</v>
      </c>
      <c r="J6" s="43"/>
      <c r="K6" s="43"/>
      <c r="L6" s="43"/>
      <c r="M6" s="43"/>
      <c r="N6" s="43"/>
      <c r="O6" s="43"/>
      <c r="P6" s="43"/>
      <c r="Q6" s="43"/>
      <c r="R6" s="43"/>
      <c r="S6" s="46" t="s">
        <v>96</v>
      </c>
      <c r="T6" s="43"/>
      <c r="U6" s="43"/>
      <c r="V6" s="43"/>
      <c r="W6" s="43"/>
      <c r="X6" s="43"/>
      <c r="Y6" s="43"/>
      <c r="Z6" s="43"/>
      <c r="AA6" s="43"/>
      <c r="AB6" s="43"/>
      <c r="AC6" s="43"/>
      <c r="AD6" s="43"/>
      <c r="AE6" s="43"/>
      <c r="AF6" s="43"/>
      <c r="AG6" s="43"/>
      <c r="AH6" s="43"/>
      <c r="AI6" s="43"/>
      <c r="AJ6" s="43"/>
      <c r="AK6" s="43"/>
    </row>
    <row r="7" spans="1:49" ht="18" customHeight="1" x14ac:dyDescent="0.3">
      <c r="A7" s="42" t="s">
        <v>57</v>
      </c>
      <c r="B7" s="58" t="s">
        <v>73</v>
      </c>
      <c r="C7" s="43"/>
      <c r="D7" s="43" t="s">
        <v>95</v>
      </c>
      <c r="E7" s="47"/>
      <c r="F7" s="43"/>
      <c r="G7" s="43"/>
      <c r="H7" s="43"/>
      <c r="I7" s="43"/>
      <c r="J7" s="43"/>
      <c r="K7" s="43"/>
      <c r="L7" s="43"/>
      <c r="M7" s="43"/>
      <c r="N7" s="43"/>
      <c r="O7" s="43"/>
      <c r="P7" s="43"/>
      <c r="Q7" s="43"/>
      <c r="R7" s="43"/>
      <c r="S7" s="60">
        <f>VLOOKUP(B7,County!A2:H94,I6+1)</f>
        <v>2.83</v>
      </c>
      <c r="T7" s="46" t="s">
        <v>126</v>
      </c>
      <c r="U7" s="46"/>
      <c r="V7" s="173" t="s">
        <v>216</v>
      </c>
      <c r="W7" s="174"/>
      <c r="X7" s="174"/>
      <c r="Y7" s="174"/>
      <c r="Z7" s="174"/>
      <c r="AA7" s="174"/>
      <c r="AB7" s="174"/>
      <c r="AC7" s="174"/>
      <c r="AD7" s="174"/>
      <c r="AE7" s="174"/>
      <c r="AF7" s="174"/>
      <c r="AG7" s="174"/>
      <c r="AH7" s="174"/>
      <c r="AI7" s="174"/>
      <c r="AJ7" s="174"/>
      <c r="AK7" s="175"/>
      <c r="AW7" s="19"/>
    </row>
    <row r="8" spans="1:49" ht="18" customHeight="1" x14ac:dyDescent="0.35">
      <c r="A8" s="42" t="s">
        <v>128</v>
      </c>
      <c r="B8" s="57"/>
      <c r="C8" s="43"/>
      <c r="D8" s="43"/>
      <c r="E8" s="47"/>
      <c r="F8" s="43"/>
      <c r="G8" s="43"/>
      <c r="H8" s="43"/>
      <c r="I8" s="43"/>
      <c r="J8" s="43"/>
      <c r="K8" s="43"/>
      <c r="L8" s="43"/>
      <c r="M8" s="43"/>
      <c r="N8" s="43"/>
      <c r="O8" s="43"/>
      <c r="P8" s="43"/>
      <c r="Q8" s="43"/>
      <c r="R8" s="43"/>
      <c r="S8" s="60"/>
      <c r="T8" s="46"/>
      <c r="U8" s="46"/>
      <c r="V8" s="176"/>
      <c r="W8" s="177"/>
      <c r="X8" s="177"/>
      <c r="Y8" s="177"/>
      <c r="Z8" s="177"/>
      <c r="AA8" s="177"/>
      <c r="AB8" s="177"/>
      <c r="AC8" s="177"/>
      <c r="AD8" s="177"/>
      <c r="AE8" s="177"/>
      <c r="AF8" s="177"/>
      <c r="AG8" s="177"/>
      <c r="AH8" s="177"/>
      <c r="AI8" s="177"/>
      <c r="AJ8" s="177"/>
      <c r="AK8" s="178"/>
      <c r="AW8" s="19"/>
    </row>
    <row r="9" spans="1:49" ht="18" customHeight="1" x14ac:dyDescent="0.35">
      <c r="A9" s="42" t="s">
        <v>100</v>
      </c>
      <c r="B9" s="56" t="s">
        <v>103</v>
      </c>
      <c r="C9" s="43"/>
      <c r="D9" s="43"/>
      <c r="E9" s="47"/>
      <c r="F9" s="43"/>
      <c r="G9" s="43"/>
      <c r="H9" s="43"/>
      <c r="I9" s="43"/>
      <c r="J9" s="43"/>
      <c r="K9" s="43"/>
      <c r="L9" s="43"/>
      <c r="M9" s="43"/>
      <c r="N9" s="43"/>
      <c r="O9" s="43"/>
      <c r="P9" s="43"/>
      <c r="Q9" s="43"/>
      <c r="R9" s="43"/>
      <c r="S9" s="47"/>
      <c r="T9" s="46"/>
      <c r="U9" s="46"/>
      <c r="V9" s="176"/>
      <c r="W9" s="177"/>
      <c r="X9" s="177"/>
      <c r="Y9" s="177"/>
      <c r="Z9" s="177"/>
      <c r="AA9" s="177"/>
      <c r="AB9" s="177"/>
      <c r="AC9" s="177"/>
      <c r="AD9" s="177"/>
      <c r="AE9" s="177"/>
      <c r="AF9" s="177"/>
      <c r="AG9" s="177"/>
      <c r="AH9" s="177"/>
      <c r="AI9" s="177"/>
      <c r="AJ9" s="177"/>
      <c r="AK9" s="178"/>
      <c r="AW9" s="19"/>
    </row>
    <row r="10" spans="1:49" ht="18" customHeight="1" x14ac:dyDescent="0.35">
      <c r="A10" s="42" t="s">
        <v>108</v>
      </c>
      <c r="B10" s="57">
        <v>8</v>
      </c>
      <c r="C10" s="61"/>
      <c r="D10" s="61"/>
      <c r="E10" s="61"/>
      <c r="F10" s="61"/>
      <c r="G10" s="61"/>
      <c r="H10" s="61"/>
      <c r="I10" s="61"/>
      <c r="J10" s="61"/>
      <c r="K10" s="61"/>
      <c r="L10" s="61"/>
      <c r="M10" s="61"/>
      <c r="N10" s="61"/>
      <c r="O10" s="61"/>
      <c r="P10" s="61"/>
      <c r="Q10" s="61"/>
      <c r="R10" s="61"/>
      <c r="S10" s="62" t="s">
        <v>110</v>
      </c>
      <c r="T10" s="43"/>
      <c r="U10" s="43"/>
      <c r="V10" s="176"/>
      <c r="W10" s="177"/>
      <c r="X10" s="177"/>
      <c r="Y10" s="177"/>
      <c r="Z10" s="177"/>
      <c r="AA10" s="177"/>
      <c r="AB10" s="177"/>
      <c r="AC10" s="177"/>
      <c r="AD10" s="177"/>
      <c r="AE10" s="177"/>
      <c r="AF10" s="177"/>
      <c r="AG10" s="177"/>
      <c r="AH10" s="177"/>
      <c r="AI10" s="177"/>
      <c r="AJ10" s="177"/>
      <c r="AK10" s="178"/>
    </row>
    <row r="11" spans="1:49" ht="18" customHeight="1" x14ac:dyDescent="0.35">
      <c r="A11" s="75" t="s">
        <v>205</v>
      </c>
      <c r="B11" s="57">
        <v>7</v>
      </c>
      <c r="C11" s="63"/>
      <c r="D11" s="63"/>
      <c r="E11" s="63"/>
      <c r="F11" s="63"/>
      <c r="G11" s="63"/>
      <c r="H11" s="63"/>
      <c r="I11" s="63"/>
      <c r="J11" s="63"/>
      <c r="K11" s="63"/>
      <c r="L11" s="63"/>
      <c r="M11" s="63"/>
      <c r="N11" s="63"/>
      <c r="O11" s="63"/>
      <c r="P11" s="63"/>
      <c r="Q11" s="63"/>
      <c r="R11" s="63"/>
      <c r="S11" s="64" t="s">
        <v>111</v>
      </c>
      <c r="T11" s="43"/>
      <c r="U11" s="43"/>
      <c r="V11" s="179"/>
      <c r="W11" s="180"/>
      <c r="X11" s="180"/>
      <c r="Y11" s="180"/>
      <c r="Z11" s="180"/>
      <c r="AA11" s="180"/>
      <c r="AB11" s="180"/>
      <c r="AC11" s="180"/>
      <c r="AD11" s="180"/>
      <c r="AE11" s="180"/>
      <c r="AF11" s="180"/>
      <c r="AG11" s="180"/>
      <c r="AH11" s="180"/>
      <c r="AI11" s="180"/>
      <c r="AJ11" s="180"/>
      <c r="AK11" s="181"/>
    </row>
    <row r="12" spans="1:49" ht="18" customHeight="1" x14ac:dyDescent="0.3">
      <c r="A12" s="42" t="s">
        <v>80</v>
      </c>
      <c r="B12" s="65">
        <f>ROUND(1.5*SQRT(B10*43560)/10,0)*10</f>
        <v>890</v>
      </c>
      <c r="C12" s="63"/>
      <c r="D12" s="63"/>
      <c r="E12" s="63"/>
      <c r="F12" s="63"/>
      <c r="G12" s="63"/>
      <c r="H12" s="63"/>
      <c r="I12" s="63"/>
      <c r="J12" s="63"/>
      <c r="K12" s="63"/>
      <c r="L12" s="63"/>
      <c r="M12" s="63"/>
      <c r="N12" s="63"/>
      <c r="O12" s="63"/>
      <c r="P12" s="63"/>
      <c r="Q12" s="63"/>
      <c r="R12" s="63"/>
      <c r="S12" s="64" t="s">
        <v>10</v>
      </c>
      <c r="T12" s="43"/>
      <c r="U12" s="43"/>
      <c r="V12" s="121"/>
      <c r="W12" s="121"/>
      <c r="X12" s="121"/>
      <c r="Y12" s="121"/>
      <c r="Z12" s="121"/>
      <c r="AA12" s="121"/>
      <c r="AB12" s="121"/>
      <c r="AC12" s="121"/>
      <c r="AD12" s="121"/>
      <c r="AE12" s="121"/>
      <c r="AF12" s="121"/>
      <c r="AG12" s="121"/>
      <c r="AH12" s="121"/>
      <c r="AI12" s="121"/>
      <c r="AJ12" s="121"/>
      <c r="AK12" s="121"/>
      <c r="AP12" s="20"/>
    </row>
    <row r="13" spans="1:49" ht="18" customHeight="1" x14ac:dyDescent="0.3">
      <c r="A13" s="43"/>
      <c r="B13" s="43"/>
      <c r="C13" s="43"/>
      <c r="D13" s="43"/>
      <c r="E13" s="43"/>
      <c r="F13" s="43"/>
      <c r="G13" s="43"/>
      <c r="H13" s="43"/>
      <c r="I13" s="43"/>
      <c r="J13" s="43"/>
      <c r="K13" s="43"/>
      <c r="L13" s="43"/>
      <c r="M13" s="43"/>
      <c r="N13" s="43"/>
      <c r="O13" s="43"/>
      <c r="P13" s="43"/>
      <c r="Q13" s="43"/>
      <c r="R13" s="43"/>
      <c r="S13" s="43"/>
      <c r="T13" s="43"/>
      <c r="U13" s="43"/>
      <c r="V13" s="94"/>
      <c r="W13" s="94"/>
      <c r="X13" s="94"/>
      <c r="Y13" s="94"/>
      <c r="Z13" s="94"/>
      <c r="AA13" s="94"/>
      <c r="AB13" s="94"/>
      <c r="AC13" s="94"/>
      <c r="AD13" s="94"/>
      <c r="AE13" s="94"/>
      <c r="AF13" s="94"/>
      <c r="AG13" s="94"/>
      <c r="AH13" s="94"/>
      <c r="AI13" s="94"/>
      <c r="AJ13" s="94"/>
      <c r="AK13" s="94"/>
    </row>
    <row r="14" spans="1:49" ht="30" customHeight="1" x14ac:dyDescent="0.35">
      <c r="A14" s="83" t="s">
        <v>127</v>
      </c>
      <c r="B14" s="56">
        <v>3.5</v>
      </c>
      <c r="C14" s="61"/>
      <c r="D14" s="61"/>
      <c r="E14" s="61"/>
      <c r="F14" s="61"/>
      <c r="G14" s="61"/>
      <c r="H14" s="61"/>
      <c r="I14" s="61"/>
      <c r="J14" s="61"/>
      <c r="K14" s="61"/>
      <c r="L14" s="61"/>
      <c r="M14" s="61"/>
      <c r="N14" s="61"/>
      <c r="O14" s="61"/>
      <c r="P14" s="61"/>
      <c r="Q14" s="61"/>
      <c r="R14" s="61"/>
      <c r="S14" s="119" t="s">
        <v>111</v>
      </c>
      <c r="T14" s="43"/>
      <c r="U14" s="43"/>
      <c r="V14" s="94"/>
      <c r="W14" s="94"/>
      <c r="X14" s="94"/>
      <c r="Y14" s="94"/>
      <c r="Z14" s="94"/>
      <c r="AA14" s="94"/>
      <c r="AB14" s="94"/>
      <c r="AC14" s="94"/>
      <c r="AD14" s="94"/>
      <c r="AE14" s="94"/>
      <c r="AF14" s="94"/>
      <c r="AG14" s="94"/>
      <c r="AH14" s="94"/>
      <c r="AI14" s="94"/>
      <c r="AJ14" s="94"/>
      <c r="AK14" s="94"/>
      <c r="AP14" s="73"/>
    </row>
    <row r="15" spans="1:49" ht="30" customHeight="1" x14ac:dyDescent="0.35">
      <c r="A15" s="82" t="s">
        <v>228</v>
      </c>
      <c r="B15" s="67" t="s">
        <v>229</v>
      </c>
      <c r="C15" s="63"/>
      <c r="D15" s="63">
        <f>IF(OR(B15="Erosion Resistant",B15="Very Erosion Resistant"),20,29)</f>
        <v>20</v>
      </c>
      <c r="E15" s="63"/>
      <c r="F15" s="63"/>
      <c r="G15" s="63"/>
      <c r="H15" s="63"/>
      <c r="I15" s="63"/>
      <c r="J15" s="63"/>
      <c r="K15" s="63"/>
      <c r="L15" s="63"/>
      <c r="M15" s="63"/>
      <c r="N15" s="63"/>
      <c r="O15" s="63"/>
      <c r="P15" s="63"/>
      <c r="Q15" s="63"/>
      <c r="R15" s="63"/>
      <c r="S15" s="193" t="str">
        <f>VLOOKUP(B15,County!Y2:Z5,2,FALSE)</f>
        <v xml:space="preserve"> </v>
      </c>
      <c r="T15" s="193"/>
      <c r="U15" s="193"/>
      <c r="V15" s="193"/>
      <c r="W15" s="193"/>
      <c r="X15" s="193"/>
      <c r="Y15" s="193"/>
      <c r="Z15" s="193"/>
      <c r="AA15" s="193"/>
      <c r="AB15" s="193"/>
      <c r="AC15" s="193"/>
      <c r="AD15" s="193"/>
      <c r="AE15" s="193"/>
      <c r="AF15" s="193"/>
      <c r="AG15" s="193"/>
      <c r="AH15" s="193"/>
      <c r="AI15" s="193"/>
      <c r="AJ15" s="193"/>
      <c r="AK15" s="193"/>
    </row>
    <row r="16" spans="1:49" ht="30" customHeight="1" x14ac:dyDescent="0.35">
      <c r="A16" s="82" t="s">
        <v>221</v>
      </c>
      <c r="B16" s="67" t="s">
        <v>22</v>
      </c>
      <c r="C16" s="63"/>
      <c r="D16" s="63">
        <f>D15+VLOOKUP(B16,County!AA2:AB4,2,FALSE)</f>
        <v>23</v>
      </c>
      <c r="E16" s="63"/>
      <c r="F16" s="63"/>
      <c r="G16" s="63"/>
      <c r="H16" s="63"/>
      <c r="I16" s="63"/>
      <c r="J16" s="63"/>
      <c r="K16" s="63"/>
      <c r="L16" s="63"/>
      <c r="M16" s="63"/>
      <c r="N16" s="63"/>
      <c r="O16" s="63"/>
      <c r="P16" s="63"/>
      <c r="Q16" s="63"/>
      <c r="R16" s="63"/>
      <c r="S16" s="62" t="s">
        <v>10</v>
      </c>
      <c r="T16" s="96"/>
      <c r="U16" s="96"/>
      <c r="V16" s="96"/>
      <c r="W16" s="96"/>
      <c r="X16" s="96"/>
      <c r="Y16" s="96"/>
      <c r="Z16" s="81"/>
      <c r="AA16" s="81"/>
      <c r="AB16" s="81"/>
      <c r="AC16" s="81"/>
      <c r="AD16" s="81"/>
      <c r="AE16" s="81"/>
      <c r="AF16" s="81"/>
      <c r="AG16" s="81"/>
      <c r="AH16" s="81"/>
      <c r="AI16" s="81"/>
      <c r="AJ16" s="81"/>
      <c r="AK16" s="81"/>
    </row>
    <row r="17" spans="1:37" ht="30" customHeight="1" x14ac:dyDescent="0.3">
      <c r="A17" s="82"/>
      <c r="B17" s="162" t="s">
        <v>226</v>
      </c>
      <c r="C17" s="163"/>
      <c r="D17" s="163"/>
      <c r="E17" s="163"/>
      <c r="F17" s="163"/>
      <c r="G17" s="163"/>
      <c r="H17" s="163"/>
      <c r="I17" s="163"/>
      <c r="J17" s="163"/>
      <c r="K17" s="163"/>
      <c r="L17" s="163"/>
      <c r="M17" s="163"/>
      <c r="N17" s="163"/>
      <c r="O17" s="163"/>
      <c r="P17" s="163"/>
      <c r="Q17" s="163"/>
      <c r="R17" s="163"/>
      <c r="S17" s="163"/>
      <c r="T17" s="95"/>
      <c r="U17" s="95"/>
      <c r="V17" s="95"/>
      <c r="W17" s="95"/>
      <c r="X17" s="95"/>
      <c r="Y17" s="95"/>
      <c r="Z17" s="81"/>
      <c r="AA17" s="81"/>
      <c r="AB17" s="81"/>
      <c r="AC17" s="81"/>
      <c r="AD17" s="81"/>
      <c r="AE17" s="81"/>
      <c r="AF17" s="81"/>
      <c r="AG17" s="81"/>
      <c r="AH17" s="81"/>
      <c r="AI17" s="81"/>
      <c r="AJ17" s="81"/>
      <c r="AK17" s="81"/>
    </row>
    <row r="18" spans="1:37" ht="30" customHeight="1" x14ac:dyDescent="0.3">
      <c r="A18" s="82"/>
      <c r="B18" s="164"/>
      <c r="C18" s="164"/>
      <c r="D18" s="164"/>
      <c r="E18" s="164"/>
      <c r="F18" s="164"/>
      <c r="G18" s="164"/>
      <c r="H18" s="164"/>
      <c r="I18" s="164"/>
      <c r="J18" s="164"/>
      <c r="K18" s="164"/>
      <c r="L18" s="164"/>
      <c r="M18" s="164"/>
      <c r="N18" s="164"/>
      <c r="O18" s="164"/>
      <c r="P18" s="164"/>
      <c r="Q18" s="164"/>
      <c r="R18" s="164"/>
      <c r="S18" s="164"/>
      <c r="T18" s="95"/>
      <c r="U18" s="95"/>
      <c r="V18" s="95"/>
      <c r="W18" s="95"/>
      <c r="X18" s="95"/>
      <c r="Y18" s="95"/>
      <c r="Z18" s="81"/>
      <c r="AA18" s="81"/>
      <c r="AB18" s="81"/>
      <c r="AC18" s="81"/>
      <c r="AD18" s="81"/>
      <c r="AE18" s="81"/>
      <c r="AF18" s="81"/>
      <c r="AG18" s="81"/>
      <c r="AH18" s="81"/>
      <c r="AI18" s="81"/>
      <c r="AJ18" s="81"/>
      <c r="AK18" s="81"/>
    </row>
    <row r="19" spans="1:37" ht="30" customHeight="1" thickBot="1" x14ac:dyDescent="0.35">
      <c r="A19" s="82"/>
      <c r="B19" s="164"/>
      <c r="C19" s="164"/>
      <c r="D19" s="164"/>
      <c r="E19" s="164"/>
      <c r="F19" s="164"/>
      <c r="G19" s="164"/>
      <c r="H19" s="164"/>
      <c r="I19" s="164"/>
      <c r="J19" s="164"/>
      <c r="K19" s="164"/>
      <c r="L19" s="164"/>
      <c r="M19" s="164"/>
      <c r="N19" s="164"/>
      <c r="O19" s="164"/>
      <c r="P19" s="164"/>
      <c r="Q19" s="164"/>
      <c r="R19" s="164"/>
      <c r="S19" s="164"/>
      <c r="T19" s="95"/>
      <c r="U19" s="95"/>
      <c r="V19" s="95"/>
      <c r="W19" s="95"/>
      <c r="X19" s="95"/>
      <c r="Y19" s="95"/>
      <c r="Z19" s="81"/>
      <c r="AA19" s="81"/>
      <c r="AB19" s="81"/>
      <c r="AC19" s="81"/>
      <c r="AD19" s="81"/>
      <c r="AE19" s="81"/>
      <c r="AF19" s="81"/>
      <c r="AG19" s="81"/>
      <c r="AH19" s="81"/>
      <c r="AI19" s="81"/>
      <c r="AJ19" s="81"/>
      <c r="AK19" s="81"/>
    </row>
    <row r="20" spans="1:37" ht="29.4" thickBot="1" x14ac:dyDescent="0.4">
      <c r="A20" s="84" t="s">
        <v>215</v>
      </c>
      <c r="B20" s="105" t="s">
        <v>218</v>
      </c>
      <c r="C20" s="43"/>
      <c r="D20" s="43"/>
      <c r="E20" s="43"/>
      <c r="F20" s="43"/>
      <c r="G20" s="43"/>
      <c r="H20" s="43"/>
      <c r="I20" s="43"/>
      <c r="J20" s="43"/>
      <c r="K20" s="43"/>
      <c r="L20" s="43"/>
      <c r="M20" s="43"/>
      <c r="N20" s="43"/>
      <c r="O20" s="43"/>
      <c r="P20" s="43"/>
      <c r="Q20" s="43"/>
      <c r="R20" s="43"/>
      <c r="S20" s="46"/>
      <c r="T20" s="43"/>
      <c r="U20" s="43"/>
      <c r="V20" s="81"/>
      <c r="W20" s="3"/>
      <c r="X20" s="3"/>
      <c r="Y20" s="3"/>
      <c r="Z20" s="3"/>
      <c r="AA20" s="3"/>
      <c r="AB20" s="3"/>
      <c r="AC20" s="3"/>
      <c r="AD20" s="3"/>
      <c r="AE20" s="3"/>
      <c r="AF20" s="3"/>
      <c r="AG20" s="3"/>
      <c r="AH20" s="3"/>
      <c r="AI20" s="3"/>
      <c r="AJ20" s="3"/>
      <c r="AK20" s="3"/>
    </row>
    <row r="21" spans="1:37" ht="31.8" thickBot="1" x14ac:dyDescent="0.35">
      <c r="A21" s="98" t="s">
        <v>130</v>
      </c>
      <c r="B21" s="85">
        <f>IF($B$15="Easily Eroded","N/A!",VLOOKUP(B20,A25:AK29,D16,FALSE))</f>
        <v>2</v>
      </c>
      <c r="D21" s="43"/>
      <c r="E21" s="43"/>
      <c r="F21" s="43"/>
      <c r="G21" s="43"/>
      <c r="H21" s="43"/>
      <c r="I21" s="43"/>
      <c r="J21" s="43"/>
      <c r="K21" s="43"/>
      <c r="L21" s="43"/>
      <c r="M21" s="43"/>
      <c r="N21" s="43"/>
      <c r="O21" s="43"/>
      <c r="P21" s="43"/>
      <c r="Q21" s="43"/>
      <c r="R21" s="43"/>
      <c r="S21" s="66" t="s">
        <v>111</v>
      </c>
      <c r="T21" s="167" t="str">
        <f>IF(OR(ISTEXT(B21),B21&lt;B14),"Cropping System selected is not adequate to control ephemeral gully erosion.","Cropping System may be adequate to control ephemeral gully erosion.")</f>
        <v>Cropping System selected is not adequate to control ephemeral gully erosion.</v>
      </c>
      <c r="U21" s="168"/>
      <c r="V21" s="168"/>
      <c r="W21" s="168"/>
      <c r="X21" s="168"/>
      <c r="Y21" s="168"/>
      <c r="Z21" s="168"/>
      <c r="AA21" s="168"/>
      <c r="AB21" s="168"/>
      <c r="AC21" s="168"/>
      <c r="AD21" s="168"/>
      <c r="AE21" s="168"/>
      <c r="AF21" s="168"/>
      <c r="AG21" s="168"/>
      <c r="AH21" s="168"/>
      <c r="AI21" s="168"/>
      <c r="AJ21" s="168"/>
      <c r="AK21" s="169"/>
    </row>
    <row r="22" spans="1:37" ht="18" customHeight="1" thickBot="1" x14ac:dyDescent="0.35">
      <c r="A22" s="138" t="s">
        <v>112</v>
      </c>
      <c r="B22" s="170" t="s">
        <v>131</v>
      </c>
      <c r="C22" s="165" t="s">
        <v>118</v>
      </c>
      <c r="D22" s="48"/>
      <c r="E22" s="48"/>
      <c r="F22" s="48"/>
      <c r="G22" s="48"/>
      <c r="H22" s="48"/>
      <c r="I22" s="48"/>
      <c r="J22" s="48"/>
      <c r="K22" s="48"/>
      <c r="L22" s="48"/>
      <c r="M22" s="48"/>
      <c r="N22" s="48"/>
      <c r="O22" s="48"/>
      <c r="P22" s="48"/>
      <c r="Q22" s="48"/>
      <c r="R22" s="48"/>
      <c r="S22" s="141" t="s">
        <v>119</v>
      </c>
      <c r="T22" s="143" t="s">
        <v>222</v>
      </c>
      <c r="U22" s="144"/>
      <c r="V22" s="145"/>
      <c r="W22" s="145"/>
      <c r="X22" s="145"/>
      <c r="Y22" s="145"/>
      <c r="Z22" s="145"/>
      <c r="AA22" s="145"/>
      <c r="AB22" s="145"/>
      <c r="AC22" s="145"/>
      <c r="AD22" s="145"/>
      <c r="AE22" s="145"/>
      <c r="AF22" s="145"/>
      <c r="AG22" s="145"/>
      <c r="AH22" s="145"/>
      <c r="AI22" s="145"/>
      <c r="AJ22" s="146"/>
      <c r="AK22" s="147"/>
    </row>
    <row r="23" spans="1:37" ht="43.95" customHeight="1" x14ac:dyDescent="0.3">
      <c r="A23" s="139"/>
      <c r="B23" s="171"/>
      <c r="C23" s="166"/>
      <c r="D23" s="49"/>
      <c r="E23" s="49"/>
      <c r="F23" s="49"/>
      <c r="G23" s="49"/>
      <c r="H23" s="49"/>
      <c r="I23" s="49"/>
      <c r="J23" s="49"/>
      <c r="K23" s="49"/>
      <c r="L23" s="49"/>
      <c r="M23" s="49"/>
      <c r="N23" s="49"/>
      <c r="O23" s="49"/>
      <c r="P23" s="49"/>
      <c r="Q23" s="49"/>
      <c r="R23" s="160" t="s">
        <v>83</v>
      </c>
      <c r="S23" s="142"/>
      <c r="T23" s="148" t="s">
        <v>236</v>
      </c>
      <c r="U23" s="149"/>
      <c r="V23" s="150"/>
      <c r="W23" s="150"/>
      <c r="X23" s="150"/>
      <c r="Y23" s="150"/>
      <c r="Z23" s="150"/>
      <c r="AA23" s="151"/>
      <c r="AB23" s="152"/>
      <c r="AC23" s="148" t="s">
        <v>234</v>
      </c>
      <c r="AD23" s="149"/>
      <c r="AE23" s="150"/>
      <c r="AF23" s="150"/>
      <c r="AG23" s="150"/>
      <c r="AH23" s="150"/>
      <c r="AI23" s="150"/>
      <c r="AJ23" s="151"/>
      <c r="AK23" s="152"/>
    </row>
    <row r="24" spans="1:37" ht="18" customHeight="1" thickBot="1" x14ac:dyDescent="0.35">
      <c r="A24" s="140"/>
      <c r="B24" s="172"/>
      <c r="C24" s="53" t="s">
        <v>95</v>
      </c>
      <c r="D24" s="54" t="s">
        <v>115</v>
      </c>
      <c r="E24" s="54" t="s">
        <v>86</v>
      </c>
      <c r="F24" s="54" t="s">
        <v>116</v>
      </c>
      <c r="G24" s="54" t="s">
        <v>91</v>
      </c>
      <c r="H24" s="54" t="s">
        <v>87</v>
      </c>
      <c r="I24" s="54" t="s">
        <v>88</v>
      </c>
      <c r="J24" s="54" t="s">
        <v>89</v>
      </c>
      <c r="K24" s="54" t="s">
        <v>92</v>
      </c>
      <c r="L24" s="54" t="s">
        <v>117</v>
      </c>
      <c r="M24" s="54" t="s">
        <v>91</v>
      </c>
      <c r="N24" s="54" t="s">
        <v>87</v>
      </c>
      <c r="O24" s="54" t="s">
        <v>88</v>
      </c>
      <c r="P24" s="54" t="s">
        <v>89</v>
      </c>
      <c r="Q24" s="54" t="s">
        <v>92</v>
      </c>
      <c r="R24" s="161"/>
      <c r="S24" s="55" t="s">
        <v>0</v>
      </c>
      <c r="T24" s="135" t="s">
        <v>20</v>
      </c>
      <c r="U24" s="136"/>
      <c r="V24" s="137"/>
      <c r="W24" s="135" t="s">
        <v>22</v>
      </c>
      <c r="X24" s="136"/>
      <c r="Y24" s="137"/>
      <c r="Z24" s="135" t="s">
        <v>23</v>
      </c>
      <c r="AA24" s="136"/>
      <c r="AB24" s="137"/>
      <c r="AC24" s="135" t="s">
        <v>20</v>
      </c>
      <c r="AD24" s="136"/>
      <c r="AE24" s="137"/>
      <c r="AF24" s="135" t="s">
        <v>22</v>
      </c>
      <c r="AG24" s="136"/>
      <c r="AH24" s="137"/>
      <c r="AI24" s="135" t="s">
        <v>23</v>
      </c>
      <c r="AJ24" s="136"/>
      <c r="AK24" s="137"/>
    </row>
    <row r="25" spans="1:37" ht="18" customHeight="1" thickTop="1" x14ac:dyDescent="0.3">
      <c r="A25" s="104" t="s">
        <v>113</v>
      </c>
      <c r="B25" s="52">
        <f>HLOOKUP($B$9,County!$T$2:$W$7,2,FALSE)</f>
        <v>91</v>
      </c>
      <c r="C25" s="52">
        <f>ROUNDUP(($S$7-(0.2*(1000/B25-10)))^2/($S$7+0.8*(1000/B25-10)),2)</f>
        <v>1.92</v>
      </c>
      <c r="D25" s="52">
        <f>ROUNDUP(($B$12^0.8)*(((1000/B25)-9)^0.7)/(1140*$B$11^0.5),2)</f>
        <v>0.13</v>
      </c>
      <c r="E25" s="52">
        <f>MIN(MAX(ROUNDUP(0.2*((1000/B25)-10)/$S$7,2),0.1),0.5)</f>
        <v>0.1</v>
      </c>
      <c r="F25" s="52">
        <f>IFERROR(MATCH(E25,IaP_List,1),1)</f>
        <v>1</v>
      </c>
      <c r="G25" s="52">
        <f>INDEX(IaP_List,F25)</f>
        <v>0.1</v>
      </c>
      <c r="H25" s="52">
        <f>INDEX(Coeff0_List,F25)</f>
        <v>2.5532300000000001</v>
      </c>
      <c r="I25" s="52">
        <f>INDEX(Coeff1_List,F25)</f>
        <v>-0.61512</v>
      </c>
      <c r="J25" s="52">
        <f>INDEX(Coeff2_List,F25)</f>
        <v>-0.16403000000000001</v>
      </c>
      <c r="K25" s="52">
        <f>H25+(I25*LOG(D25))+(J25*LOG(D25)^2)</f>
        <v>2.9694818054384466</v>
      </c>
      <c r="L25" s="52">
        <f>IF(OR(E25=0.1,E25=0.5),F25,F25+1)</f>
        <v>1</v>
      </c>
      <c r="M25" s="52">
        <f>INDEX(IaP_List,L25)</f>
        <v>0.1</v>
      </c>
      <c r="N25" s="52">
        <f>INDEX(Coeff0_List,L25)</f>
        <v>2.5532300000000001</v>
      </c>
      <c r="O25" s="52">
        <f>INDEX(Coeff1_List,L25)</f>
        <v>-0.61512</v>
      </c>
      <c r="P25" s="52">
        <f>INDEX(Coeff2_List,L25)</f>
        <v>-0.16403000000000001</v>
      </c>
      <c r="Q25" s="52">
        <f>N25+(O25*LOG(D25))+(P25*LOG(D25)^2)</f>
        <v>2.9694818054384466</v>
      </c>
      <c r="R25" s="52">
        <f>10^(IF(F25=L25,K25,((Q25-K25)*((G25-E25)/(G25-M25))+K25)))/640</f>
        <v>1.4564709654695505</v>
      </c>
      <c r="S25" s="68">
        <f>MAX(1,ROUNDUP($B$10*R25*C25,1))</f>
        <v>22.400000000000002</v>
      </c>
      <c r="T25" s="131" t="str">
        <f>IF(VLOOKUP($S25,CleanErosResBedS,2,TRUE)&gt;0,VLOOKUP($S25,CleanErosResBedS,2,TRUE),"-")</f>
        <v>-</v>
      </c>
      <c r="U25" s="132"/>
      <c r="V25" s="107" t="s">
        <v>111</v>
      </c>
      <c r="W25" s="131" t="str">
        <f>IF(VLOOKUP($S25,CleanErosResBedS,4,TRUE)&gt;0,VLOOKUP($S25,CleanErosResBedS,4,TRUE),"-")</f>
        <v>-</v>
      </c>
      <c r="X25" s="132"/>
      <c r="Y25" s="107" t="s">
        <v>111</v>
      </c>
      <c r="Z25" s="131" t="str">
        <f>IF(VLOOKUP($S25,CleanErosResBedS,6,TRUE)&gt;0,VLOOKUP($S25,CleanErosResBedS,6,TRUE),"-")</f>
        <v>-</v>
      </c>
      <c r="AA25" s="132"/>
      <c r="AB25" s="110" t="s">
        <v>111</v>
      </c>
      <c r="AC25" s="131" t="str">
        <f>IF(VLOOKUP($S25,CleanErodibleBedS,2,TRUE)&gt;0,VLOOKUP($S25,CleanErodibleBedS,2,TRUE),"-")</f>
        <v>-</v>
      </c>
      <c r="AD25" s="132"/>
      <c r="AE25" s="110" t="s">
        <v>111</v>
      </c>
      <c r="AF25" s="131" t="str">
        <f>IF(VLOOKUP($S25,CleanErodibleBedS,4,TRUE)&gt;0,VLOOKUP($S25,CleanErodibleBedS,4,TRUE),"-")</f>
        <v>-</v>
      </c>
      <c r="AG25" s="132"/>
      <c r="AH25" s="110" t="s">
        <v>111</v>
      </c>
      <c r="AI25" s="125" t="str">
        <f>IF(VLOOKUP($S25,CleanErodibleBedS,6,TRUE)&gt;0,VLOOKUP($S25,CleanErodibleBedS,6,TRUE),"-")</f>
        <v>-</v>
      </c>
      <c r="AJ25" s="126"/>
      <c r="AK25" s="110" t="s">
        <v>111</v>
      </c>
    </row>
    <row r="26" spans="1:37" ht="18" customHeight="1" x14ac:dyDescent="0.3">
      <c r="A26" s="104" t="s">
        <v>114</v>
      </c>
      <c r="B26" s="50">
        <f>HLOOKUP($B$9,County!$T$2:$W$7,3,FALSE)</f>
        <v>90</v>
      </c>
      <c r="C26" s="50">
        <f>ROUNDUP(($S$7-(0.2*(1000/B26-10)))^2/($S$7+0.8*(1000/B26-10)),2)</f>
        <v>1.83</v>
      </c>
      <c r="D26" s="50">
        <f>ROUNDUP(($B$12^0.8)*(((1000/B26)-9)^0.7)/(1140*$B$11^0.5),2)</f>
        <v>0.13</v>
      </c>
      <c r="E26" s="50">
        <f>MIN(MAX(ROUNDUP(0.2*((1000/B26)-10)/$S$7,2),0.1),0.5)</f>
        <v>0.1</v>
      </c>
      <c r="F26" s="50">
        <f>IFERROR(MATCH(E26,IaP_List,1),1)</f>
        <v>1</v>
      </c>
      <c r="G26" s="50">
        <f>INDEX(IaP_List,F26)</f>
        <v>0.1</v>
      </c>
      <c r="H26" s="50">
        <f>INDEX(Coeff0_List,F26)</f>
        <v>2.5532300000000001</v>
      </c>
      <c r="I26" s="50">
        <f>INDEX(Coeff1_List,F26)</f>
        <v>-0.61512</v>
      </c>
      <c r="J26" s="50">
        <f>INDEX(Coeff2_List,F26)</f>
        <v>-0.16403000000000001</v>
      </c>
      <c r="K26" s="50">
        <f t="shared" ref="K26:K28" si="0">H26+(I26*LOG(D26))+(J26*LOG(D26)^2)</f>
        <v>2.9694818054384466</v>
      </c>
      <c r="L26" s="50">
        <f t="shared" ref="L26:L28" si="1">IF(OR(E26=0.1,E26=0.5),F26,F26+1)</f>
        <v>1</v>
      </c>
      <c r="M26" s="50">
        <f>INDEX(IaP_List,L26)</f>
        <v>0.1</v>
      </c>
      <c r="N26" s="50">
        <f>INDEX(Coeff0_List,L26)</f>
        <v>2.5532300000000001</v>
      </c>
      <c r="O26" s="50">
        <f>INDEX(Coeff1_List,L26)</f>
        <v>-0.61512</v>
      </c>
      <c r="P26" s="50">
        <f>INDEX(Coeff2_List,L26)</f>
        <v>-0.16403000000000001</v>
      </c>
      <c r="Q26" s="50">
        <f t="shared" ref="Q26:Q28" si="2">N26+(O26*LOG(D26))+(P26*LOG(D26)^2)</f>
        <v>2.9694818054384466</v>
      </c>
      <c r="R26" s="50">
        <f t="shared" ref="R26:R28" si="3">10^(IF(F26=L26,K26,((Q26-K26)*((G26-E26)/(G26-M26))+K26)))/640</f>
        <v>1.4564709654695505</v>
      </c>
      <c r="S26" s="69">
        <f t="shared" ref="S26:S28" si="4">MAX(1,ROUNDUP($B$10*R26*C26,1))</f>
        <v>21.400000000000002</v>
      </c>
      <c r="T26" s="133" t="str">
        <f>IF(VLOOKUP($S26,ConvErosResBedS,2,TRUE)&gt;0,VLOOKUP($S26,ConvErosResBedS,2,TRUE),"-")</f>
        <v>-</v>
      </c>
      <c r="U26" s="134"/>
      <c r="V26" s="108" t="s">
        <v>111</v>
      </c>
      <c r="W26" s="133">
        <f>IF(VLOOKUP($S26,ConvErosResBedS,4,TRUE)&gt;0,VLOOKUP($S26,ConvErosResBedS,4,TRUE),"-")</f>
        <v>0.2</v>
      </c>
      <c r="X26" s="134"/>
      <c r="Y26" s="108" t="s">
        <v>111</v>
      </c>
      <c r="Z26" s="133">
        <f>IF(VLOOKUP($S26,ConvErosResBedS,6,TRUE)&gt;0,VLOOKUP($S26,ConvErosResBedS,6,TRUE),"-")</f>
        <v>0.2</v>
      </c>
      <c r="AA26" s="134"/>
      <c r="AB26" s="111" t="s">
        <v>111</v>
      </c>
      <c r="AC26" s="133" t="str">
        <f>IF(VLOOKUP($S26,ConvErodibleBedS,2,TRUE)&gt;0,VLOOKUP($S26,ConvErodibleBedS,2,TRUE),"-")</f>
        <v>-</v>
      </c>
      <c r="AD26" s="134"/>
      <c r="AE26" s="111" t="s">
        <v>111</v>
      </c>
      <c r="AF26" s="133" t="str">
        <f>IF(VLOOKUP($S26,ConvErodibleBedS,4,TRUE)&gt;0,VLOOKUP($S26,ConvErodibleBedS,4,TRUE),"-")</f>
        <v>-</v>
      </c>
      <c r="AG26" s="134"/>
      <c r="AH26" s="111" t="s">
        <v>111</v>
      </c>
      <c r="AI26" s="127" t="str">
        <f>IF(VLOOKUP($S26,ConvErodibleBedS,6,TRUE)&gt;0,VLOOKUP($S26,ConvErodibleBedS,6,TRUE),"-")</f>
        <v>-</v>
      </c>
      <c r="AJ26" s="128"/>
      <c r="AK26" s="111" t="s">
        <v>111</v>
      </c>
    </row>
    <row r="27" spans="1:37" ht="18" customHeight="1" x14ac:dyDescent="0.3">
      <c r="A27" s="104" t="s">
        <v>217</v>
      </c>
      <c r="B27" s="50">
        <f>HLOOKUP($B$9,County!$T$2:$W$7,4,FALSE)</f>
        <v>88</v>
      </c>
      <c r="C27" s="50">
        <f>ROUNDUP(($S$7-(0.2*(1000/B27-10)))^2/($S$7+0.8*(1000/B27-10)),2)</f>
        <v>1.67</v>
      </c>
      <c r="D27" s="50">
        <f>ROUNDUP(($B$12^0.8)*(((1000/B27)-9)^0.7)/(1140*$B$11^0.5),2)</f>
        <v>0.14000000000000001</v>
      </c>
      <c r="E27" s="50">
        <f>MIN(MAX(ROUNDUP(0.2*((1000/B27)-10)/$S$7,2),0.1),0.5)</f>
        <v>0.1</v>
      </c>
      <c r="F27" s="50">
        <f>IFERROR(MATCH(E27,IaP_List,1),1)</f>
        <v>1</v>
      </c>
      <c r="G27" s="50">
        <f>INDEX(IaP_List,F27)</f>
        <v>0.1</v>
      </c>
      <c r="H27" s="50">
        <f>INDEX(Coeff0_List,F27)</f>
        <v>2.5532300000000001</v>
      </c>
      <c r="I27" s="50">
        <f>INDEX(Coeff1_List,F27)</f>
        <v>-0.61512</v>
      </c>
      <c r="J27" s="50">
        <f>INDEX(Coeff2_List,F27)</f>
        <v>-0.16403000000000001</v>
      </c>
      <c r="K27" s="50">
        <f t="shared" si="0"/>
        <v>2.9588698874150872</v>
      </c>
      <c r="L27" s="50">
        <f t="shared" si="1"/>
        <v>1</v>
      </c>
      <c r="M27" s="50">
        <f>INDEX(IaP_List,L27)</f>
        <v>0.1</v>
      </c>
      <c r="N27" s="50">
        <f>INDEX(Coeff0_List,L27)</f>
        <v>2.5532300000000001</v>
      </c>
      <c r="O27" s="50">
        <f>INDEX(Coeff1_List,L27)</f>
        <v>-0.61512</v>
      </c>
      <c r="P27" s="50">
        <f>INDEX(Coeff2_List,L27)</f>
        <v>-0.16403000000000001</v>
      </c>
      <c r="Q27" s="50">
        <f t="shared" si="2"/>
        <v>2.9588698874150872</v>
      </c>
      <c r="R27" s="50">
        <f t="shared" si="3"/>
        <v>1.4213136058209568</v>
      </c>
      <c r="S27" s="69">
        <f t="shared" si="4"/>
        <v>19</v>
      </c>
      <c r="T27" s="133">
        <f>IF(VLOOKUP($S27,MulchErosResBedS,2,TRUE)&gt;0,VLOOKUP($S27,MulchErosResBedS,2,TRUE),"-")</f>
        <v>0.4</v>
      </c>
      <c r="U27" s="134"/>
      <c r="V27" s="108" t="s">
        <v>111</v>
      </c>
      <c r="W27" s="133">
        <f>IF(VLOOKUP($S27,MulchErosResBedS,4,TRUE)&gt;0,VLOOKUP($S27,MulchErosResBedS,4,TRUE),"-")</f>
        <v>0.5</v>
      </c>
      <c r="X27" s="134"/>
      <c r="Y27" s="108" t="s">
        <v>111</v>
      </c>
      <c r="Z27" s="133">
        <f>IF(VLOOKUP($S27,MulchErosResBedS,6,TRUE)&gt;0,VLOOKUP($S27,MulchErosResBedS,6,TRUE),"-")</f>
        <v>0.7</v>
      </c>
      <c r="AA27" s="134"/>
      <c r="AB27" s="111" t="s">
        <v>111</v>
      </c>
      <c r="AC27" s="133" t="str">
        <f>IF(VLOOKUP($S27,MulchErodibleBedS,2,TRUE)&gt;0,VLOOKUP($S27,MulchErodibleBedS,2,TRUE),"-")</f>
        <v>-</v>
      </c>
      <c r="AD27" s="134"/>
      <c r="AE27" s="111" t="s">
        <v>111</v>
      </c>
      <c r="AF27" s="133">
        <f>IF(VLOOKUP($S27,MulchErodibleBedS,4,TRUE)&gt;0,VLOOKUP($S27,MulchErodibleBedS,4,TRUE),"-")</f>
        <v>0.2</v>
      </c>
      <c r="AG27" s="134"/>
      <c r="AH27" s="111" t="s">
        <v>111</v>
      </c>
      <c r="AI27" s="127">
        <f>IF(VLOOKUP($S27,MulchErodibleBedS,6,TRUE)&gt;0,VLOOKUP($S27,MulchErodibleBedS,6,TRUE),"-")</f>
        <v>0.3</v>
      </c>
      <c r="AJ27" s="128"/>
      <c r="AK27" s="111" t="s">
        <v>111</v>
      </c>
    </row>
    <row r="28" spans="1:37" ht="18" customHeight="1" x14ac:dyDescent="0.3">
      <c r="A28" s="104" t="s">
        <v>218</v>
      </c>
      <c r="B28" s="50">
        <f>HLOOKUP($B$9,County!$T$2:$W$7,5,FALSE)</f>
        <v>81</v>
      </c>
      <c r="C28" s="50">
        <f>ROUNDUP(($S$7-(0.2*(1000/B28-10)))^2/($S$7+0.8*(1000/B28-10)),2)</f>
        <v>1.19</v>
      </c>
      <c r="D28" s="50">
        <f>ROUNDUP(($B$12^0.8)*(((1000/B28)-9)^0.7)/(1140*$B$11^0.5),2)</f>
        <v>0.18000000000000002</v>
      </c>
      <c r="E28" s="50">
        <f>MIN(MAX(ROUNDUP(0.2*((1000/B28)-10)/$S$7,2),0.1),0.5)</f>
        <v>0.17</v>
      </c>
      <c r="F28" s="50">
        <f>IFERROR(MATCH(E28,IaP_List,1),1)</f>
        <v>1</v>
      </c>
      <c r="G28" s="50">
        <f>INDEX(IaP_List,F28)</f>
        <v>0.1</v>
      </c>
      <c r="H28" s="50">
        <f>INDEX(Coeff0_List,F28)</f>
        <v>2.5532300000000001</v>
      </c>
      <c r="I28" s="50">
        <f>INDEX(Coeff1_List,F28)</f>
        <v>-0.61512</v>
      </c>
      <c r="J28" s="50">
        <f>INDEX(Coeff2_List,F28)</f>
        <v>-0.16403000000000001</v>
      </c>
      <c r="K28" s="50">
        <f t="shared" si="0"/>
        <v>2.9203526152581674</v>
      </c>
      <c r="L28" s="50">
        <f t="shared" si="1"/>
        <v>2</v>
      </c>
      <c r="M28" s="50">
        <f>INDEX(IaP_List,L28)</f>
        <v>0.3</v>
      </c>
      <c r="N28" s="50">
        <f>INDEX(Coeff0_List,L28)</f>
        <v>2.4653200000000002</v>
      </c>
      <c r="O28" s="50">
        <f>INDEX(Coeff1_List,L28)</f>
        <v>-0.62256999999999996</v>
      </c>
      <c r="P28" s="50">
        <f>INDEX(Coeff2_List,L28)</f>
        <v>-0.11656999999999999</v>
      </c>
      <c r="Q28" s="50">
        <f t="shared" si="2"/>
        <v>2.8643130548120994</v>
      </c>
      <c r="R28" s="50">
        <f t="shared" si="3"/>
        <v>1.2432509367119402</v>
      </c>
      <c r="S28" s="69">
        <f t="shared" si="4"/>
        <v>11.9</v>
      </c>
      <c r="T28" s="133">
        <f>IF(VLOOKUP($S28,NoTillErosResBedS,2,TRUE)&gt;0,VLOOKUP($S28,NoTillErosResBedS,2,TRUE),"-")</f>
        <v>1.4</v>
      </c>
      <c r="U28" s="134"/>
      <c r="V28" s="108" t="s">
        <v>111</v>
      </c>
      <c r="W28" s="133">
        <f>IF(VLOOKUP($S28,NoTillErosResBedS,4,TRUE)&gt;0,VLOOKUP($S28,NoTillErosResBedS,4,TRUE),"-")</f>
        <v>2</v>
      </c>
      <c r="X28" s="134"/>
      <c r="Y28" s="108" t="s">
        <v>111</v>
      </c>
      <c r="Z28" s="133">
        <f>IF(VLOOKUP($S28,NoTillErosResBedS,6,TRUE)&gt;0,VLOOKUP($S28,NoTillErosResBedS,6,TRUE),"-")</f>
        <v>2.6</v>
      </c>
      <c r="AA28" s="134"/>
      <c r="AB28" s="111" t="s">
        <v>111</v>
      </c>
      <c r="AC28" s="133">
        <f>IF(VLOOKUP($S28,NoTillErodibleBedS,2,TRUE)&gt;0,VLOOKUP($S28,NoTillErodibleBedS,2,TRUE),"-")</f>
        <v>0.7</v>
      </c>
      <c r="AD28" s="134"/>
      <c r="AE28" s="111" t="s">
        <v>111</v>
      </c>
      <c r="AF28" s="133">
        <f>IF(VLOOKUP($S28,NoTillErodibleBedS,4,TRUE)&gt;0,VLOOKUP($S28,NoTillErodibleBedS,4,TRUE),"-")</f>
        <v>1</v>
      </c>
      <c r="AG28" s="134"/>
      <c r="AH28" s="111" t="s">
        <v>111</v>
      </c>
      <c r="AI28" s="127">
        <f>IF(VLOOKUP($S28,NoTillErodibleBedS,6,TRUE)&gt;0,VLOOKUP($S28,NoTillErodibleBedS,6,TRUE),"-")</f>
        <v>1.2</v>
      </c>
      <c r="AJ28" s="128"/>
      <c r="AK28" s="111" t="s">
        <v>111</v>
      </c>
    </row>
    <row r="29" spans="1:37" ht="18" customHeight="1" thickBot="1" x14ac:dyDescent="0.35">
      <c r="A29" s="104" t="s">
        <v>132</v>
      </c>
      <c r="B29" s="51">
        <f>HLOOKUP($B$9,County!$T$2:$W$7,6,FALSE)</f>
        <v>78</v>
      </c>
      <c r="C29" s="51">
        <f>ROUNDUP(($S$7-(0.2*(1000/B29-10)))^2/($S$7+0.8*(1000/B29-10)),2)</f>
        <v>1.01</v>
      </c>
      <c r="D29" s="51">
        <f>ROUNDUP(($B$12^0.8)*(((1000/B29)-9)^0.7)/(1140*$B$11^0.5),2)</f>
        <v>0.2</v>
      </c>
      <c r="E29" s="51">
        <f>MIN(MAX(ROUNDUP(0.2*((1000/B29)-10)/$S$7,2),0.1),0.5)</f>
        <v>0.2</v>
      </c>
      <c r="F29" s="51">
        <f>IFERROR(MATCH(E29,IaP_List,1),1)</f>
        <v>1</v>
      </c>
      <c r="G29" s="51">
        <f>INDEX(IaP_List,F29)</f>
        <v>0.1</v>
      </c>
      <c r="H29" s="51">
        <f>INDEX(Coeff0_List,F29)</f>
        <v>2.5532300000000001</v>
      </c>
      <c r="I29" s="51">
        <f>INDEX(Coeff1_List,F29)</f>
        <v>-0.61512</v>
      </c>
      <c r="J29" s="51">
        <f>INDEX(Coeff2_List,F29)</f>
        <v>-0.16403000000000001</v>
      </c>
      <c r="K29" s="51">
        <f t="shared" ref="K29" si="5">H29+(I29*LOG(D29))+(J29*LOG(D29)^2)</f>
        <v>2.9030420853134782</v>
      </c>
      <c r="L29" s="51">
        <f t="shared" ref="L29" si="6">IF(OR(E29=0.1,E29=0.5),F29,F29+1)</f>
        <v>2</v>
      </c>
      <c r="M29" s="51">
        <f>INDEX(IaP_List,L29)</f>
        <v>0.3</v>
      </c>
      <c r="N29" s="51">
        <f>INDEX(Coeff0_List,L29)</f>
        <v>2.4653200000000002</v>
      </c>
      <c r="O29" s="51">
        <f>INDEX(Coeff1_List,L29)</f>
        <v>-0.62256999999999996</v>
      </c>
      <c r="P29" s="51">
        <f>INDEX(Coeff2_List,L29)</f>
        <v>-0.11656999999999999</v>
      </c>
      <c r="Q29" s="51">
        <f t="shared" ref="Q29" si="7">N29+(O29*LOG(D29))+(P29*LOG(D29)^2)</f>
        <v>2.8435264251637742</v>
      </c>
      <c r="R29" s="51">
        <f t="shared" ref="R29" si="8">10^(IF(F29=L29,K29,((Q29-K29)*((G29-E29)/(G29-M29))+K29)))/640</f>
        <v>1.1670898208982183</v>
      </c>
      <c r="S29" s="70">
        <f t="shared" ref="S29" si="9">MAX(1,ROUNDUP($B$10*R29*C29,1))</f>
        <v>9.5</v>
      </c>
      <c r="T29" s="123">
        <f>IF(VLOOKUP($S29,CCErosionResBedS,2,TRUE)&gt;0,VLOOKUP($S29,CCErosionResBedS,2,TRUE),"-")</f>
        <v>2.5</v>
      </c>
      <c r="U29" s="124"/>
      <c r="V29" s="109" t="s">
        <v>111</v>
      </c>
      <c r="W29" s="123">
        <f>IF(VLOOKUP($S29,CCErosionResBedS,4,TRUE)&gt;0,VLOOKUP($S29,CCErosionResBedS,4,TRUE),"-")</f>
        <v>5</v>
      </c>
      <c r="X29" s="124"/>
      <c r="Y29" s="109" t="s">
        <v>111</v>
      </c>
      <c r="Z29" s="123">
        <f>IF(VLOOKUP($S29,CCErosionResBedS,6,TRUE)&gt;0,VLOOKUP($S29,CCErosionResBedS,6,TRUE),"-")</f>
        <v>8</v>
      </c>
      <c r="AA29" s="124"/>
      <c r="AB29" s="112" t="s">
        <v>111</v>
      </c>
      <c r="AC29" s="123">
        <f>IF(VLOOKUP($S29,CCErodibleBedS,2,TRUE)&gt;0,VLOOKUP($S29,CCErodibleBedS,2,TRUE),"-")</f>
        <v>1.3</v>
      </c>
      <c r="AD29" s="124"/>
      <c r="AE29" s="113" t="s">
        <v>111</v>
      </c>
      <c r="AF29" s="123">
        <f>IF(VLOOKUP($S29,CCErodibleBedS,4,TRUE)&gt;0,VLOOKUP($S29,CCErodibleBedS,4,TRUE),"-")</f>
        <v>2.5</v>
      </c>
      <c r="AG29" s="124"/>
      <c r="AH29" s="113" t="s">
        <v>111</v>
      </c>
      <c r="AI29" s="129">
        <f>IF(VLOOKUP($S29,CCErodibleBedS,6,TRUE)&gt;0,VLOOKUP($S29,CCErodibleBedS,6,TRUE),"-")</f>
        <v>4</v>
      </c>
      <c r="AJ29" s="130"/>
      <c r="AK29" s="113" t="s">
        <v>111</v>
      </c>
    </row>
    <row r="30" spans="1:37" ht="9.9" customHeight="1" thickBot="1" x14ac:dyDescent="0.35"/>
    <row r="31" spans="1:37" ht="36" customHeight="1" thickBot="1" x14ac:dyDescent="0.4">
      <c r="A31" s="74" t="s">
        <v>213</v>
      </c>
      <c r="B31" s="120" t="s">
        <v>132</v>
      </c>
      <c r="S31" s="186" t="str">
        <f>VLOOKUP(B31,County!S11:T15,2,FALSE)</f>
        <v>Cover crop stem height = 6 inches; Cover crop stem density = 30 stems per square foot; Vegetal Cover Factor = 0.5 (representative of typical annual crop stubble)</v>
      </c>
      <c r="T31" s="187"/>
      <c r="U31" s="187"/>
      <c r="V31" s="187"/>
      <c r="W31" s="187"/>
      <c r="X31" s="187"/>
      <c r="Y31" s="187"/>
      <c r="Z31" s="187"/>
      <c r="AA31" s="187"/>
      <c r="AB31" s="187"/>
      <c r="AC31" s="187"/>
      <c r="AD31" s="187"/>
      <c r="AE31" s="187"/>
      <c r="AF31" s="187"/>
      <c r="AG31" s="187"/>
      <c r="AH31" s="187"/>
      <c r="AI31" s="187"/>
      <c r="AJ31" s="187"/>
      <c r="AK31" s="188"/>
    </row>
    <row r="32" spans="1:37" ht="42.75" customHeight="1" thickBot="1" x14ac:dyDescent="0.4">
      <c r="A32" s="76" t="s">
        <v>206</v>
      </c>
      <c r="B32" s="106" t="str">
        <f>B20</f>
        <v>High Res. No-Till</v>
      </c>
    </row>
    <row r="33" spans="1:37" ht="31.8" thickBot="1" x14ac:dyDescent="0.4">
      <c r="A33" s="74" t="s">
        <v>214</v>
      </c>
      <c r="B33" s="80">
        <f>VLOOKUP(B32,A25:S29,19,FALSE)</f>
        <v>11.9</v>
      </c>
      <c r="C33" s="78" t="s">
        <v>0</v>
      </c>
      <c r="D33" s="78"/>
      <c r="E33" s="78"/>
      <c r="F33" s="78"/>
      <c r="G33" s="78"/>
      <c r="H33" s="78"/>
      <c r="I33" s="78"/>
      <c r="J33" s="78"/>
      <c r="K33" s="78"/>
      <c r="L33" s="78"/>
      <c r="M33" s="78"/>
      <c r="N33" s="78"/>
      <c r="O33" s="78"/>
      <c r="P33" s="78"/>
      <c r="Q33" s="78"/>
      <c r="R33" s="78"/>
      <c r="S33" s="79" t="s">
        <v>0</v>
      </c>
    </row>
    <row r="34" spans="1:37" ht="32.25" customHeight="1" thickBot="1" x14ac:dyDescent="0.35">
      <c r="A34" s="77" t="s">
        <v>130</v>
      </c>
      <c r="B34" s="86">
        <f>VLOOKUP(B31,A38:AK42,D16,FALSE)</f>
        <v>3.5</v>
      </c>
      <c r="S34" s="66" t="s">
        <v>111</v>
      </c>
      <c r="T34" s="167" t="str">
        <f>IF(OR(ISTEXT(B34),B34&lt;B14),"Gully Treatment selected is not adequate to control ephemeral gully erosion.","Gully Treatment may be adequate to control ephemeral gully erosion.")</f>
        <v>Gully Treatment may be adequate to control ephemeral gully erosion.</v>
      </c>
      <c r="U34" s="168"/>
      <c r="V34" s="168"/>
      <c r="W34" s="168"/>
      <c r="X34" s="168"/>
      <c r="Y34" s="168"/>
      <c r="Z34" s="168"/>
      <c r="AA34" s="168"/>
      <c r="AB34" s="168"/>
      <c r="AC34" s="168"/>
      <c r="AD34" s="168"/>
      <c r="AE34" s="168"/>
      <c r="AF34" s="168"/>
      <c r="AG34" s="168"/>
      <c r="AH34" s="168"/>
      <c r="AI34" s="168"/>
      <c r="AJ34" s="168"/>
      <c r="AK34" s="169"/>
    </row>
    <row r="35" spans="1:37" ht="18" customHeight="1" thickBot="1" x14ac:dyDescent="0.35">
      <c r="A35" s="189" t="s">
        <v>207</v>
      </c>
      <c r="B35" s="190"/>
      <c r="S35" s="141" t="s">
        <v>119</v>
      </c>
      <c r="T35" s="143" t="s">
        <v>222</v>
      </c>
      <c r="U35" s="144"/>
      <c r="V35" s="145"/>
      <c r="W35" s="145"/>
      <c r="X35" s="145"/>
      <c r="Y35" s="145"/>
      <c r="Z35" s="145"/>
      <c r="AA35" s="145"/>
      <c r="AB35" s="145"/>
      <c r="AC35" s="145"/>
      <c r="AD35" s="145"/>
      <c r="AE35" s="145"/>
      <c r="AF35" s="145"/>
      <c r="AG35" s="145"/>
      <c r="AH35" s="145"/>
      <c r="AI35" s="145"/>
      <c r="AJ35" s="146"/>
      <c r="AK35" s="147"/>
    </row>
    <row r="36" spans="1:37" ht="44.1" customHeight="1" x14ac:dyDescent="0.3">
      <c r="A36" s="191"/>
      <c r="B36" s="192"/>
      <c r="S36" s="142"/>
      <c r="T36" s="148" t="s">
        <v>237</v>
      </c>
      <c r="U36" s="149"/>
      <c r="V36" s="150"/>
      <c r="W36" s="150"/>
      <c r="X36" s="150"/>
      <c r="Y36" s="150"/>
      <c r="Z36" s="150"/>
      <c r="AA36" s="151"/>
      <c r="AB36" s="152"/>
      <c r="AC36" s="148" t="s">
        <v>234</v>
      </c>
      <c r="AD36" s="149"/>
      <c r="AE36" s="150"/>
      <c r="AF36" s="150"/>
      <c r="AG36" s="150"/>
      <c r="AH36" s="150"/>
      <c r="AI36" s="150"/>
      <c r="AJ36" s="151"/>
      <c r="AK36" s="152"/>
    </row>
    <row r="37" spans="1:37" ht="18" customHeight="1" thickBot="1" x14ac:dyDescent="0.35">
      <c r="A37" s="191"/>
      <c r="B37" s="192"/>
      <c r="S37" s="55" t="s">
        <v>0</v>
      </c>
      <c r="T37" s="135" t="s">
        <v>20</v>
      </c>
      <c r="U37" s="136"/>
      <c r="V37" s="137"/>
      <c r="W37" s="135" t="s">
        <v>22</v>
      </c>
      <c r="X37" s="136"/>
      <c r="Y37" s="137"/>
      <c r="Z37" s="135" t="s">
        <v>23</v>
      </c>
      <c r="AA37" s="136"/>
      <c r="AB37" s="137"/>
      <c r="AC37" s="135" t="s">
        <v>20</v>
      </c>
      <c r="AD37" s="136"/>
      <c r="AE37" s="137"/>
      <c r="AF37" s="135" t="s">
        <v>22</v>
      </c>
      <c r="AG37" s="136"/>
      <c r="AH37" s="137"/>
      <c r="AI37" s="135" t="s">
        <v>23</v>
      </c>
      <c r="AJ37" s="136"/>
      <c r="AK37" s="137"/>
    </row>
    <row r="38" spans="1:37" ht="18" customHeight="1" thickTop="1" x14ac:dyDescent="0.3">
      <c r="A38" s="182" t="s">
        <v>113</v>
      </c>
      <c r="B38" s="183"/>
      <c r="S38" s="68">
        <f>B33</f>
        <v>11.9</v>
      </c>
      <c r="T38" s="131" t="str">
        <f>IF(VLOOKUP($S38,CleanErosResBedS,2,TRUE)&gt;0,VLOOKUP($S38,CleanErosResBedS,2,TRUE),"-")</f>
        <v>-</v>
      </c>
      <c r="U38" s="132"/>
      <c r="V38" s="114" t="s">
        <v>111</v>
      </c>
      <c r="W38" s="131" t="str">
        <f>IF(VLOOKUP($S38,CleanErosResBedS,4,TRUE)&gt;0,VLOOKUP($S38,CleanErosResBedS,4,TRUE),"-")</f>
        <v>-</v>
      </c>
      <c r="X38" s="132"/>
      <c r="Y38" s="114" t="s">
        <v>111</v>
      </c>
      <c r="Z38" s="131" t="str">
        <f>IF(VLOOKUP($S38,CleanErosResBedS,6,TRUE)&gt;0,VLOOKUP($S38,CleanErosResBedS,6,TRUE),"-")</f>
        <v>-</v>
      </c>
      <c r="AA38" s="132"/>
      <c r="AB38" s="114" t="s">
        <v>111</v>
      </c>
      <c r="AC38" s="131" t="str">
        <f>IF(VLOOKUP($S38,CleanErodibleBedS,2,TRUE)&gt;0,VLOOKUP($S38,CleanErodibleBedS,2,TRUE),"-")</f>
        <v>-</v>
      </c>
      <c r="AD38" s="132"/>
      <c r="AE38" s="114" t="s">
        <v>111</v>
      </c>
      <c r="AF38" s="131" t="str">
        <f>IF(VLOOKUP($S38,CleanErodibleBedS,4,TRUE)&gt;0,VLOOKUP($S38,CleanErodibleBedS,4,TRUE),"-")</f>
        <v>-</v>
      </c>
      <c r="AG38" s="132"/>
      <c r="AH38" s="114" t="s">
        <v>111</v>
      </c>
      <c r="AI38" s="125" t="str">
        <f>IF(VLOOKUP($S38,CleanErodibleBedS,6,TRUE)&gt;0,VLOOKUP($S38,CleanErodibleBedS,6,TRUE),"-")</f>
        <v>-</v>
      </c>
      <c r="AJ38" s="126"/>
      <c r="AK38" s="114" t="s">
        <v>111</v>
      </c>
    </row>
    <row r="39" spans="1:37" ht="18" customHeight="1" x14ac:dyDescent="0.3">
      <c r="A39" s="182" t="s">
        <v>114</v>
      </c>
      <c r="B39" s="183"/>
      <c r="S39" s="69">
        <f>B33</f>
        <v>11.9</v>
      </c>
      <c r="T39" s="133">
        <f>IF(VLOOKUP($S39,ConvErosResBedS,2,TRUE)&gt;0,VLOOKUP($S39,ConvErosResBedS,2,TRUE),"-")</f>
        <v>0.2</v>
      </c>
      <c r="U39" s="134"/>
      <c r="V39" s="115" t="s">
        <v>111</v>
      </c>
      <c r="W39" s="133">
        <f>IF(VLOOKUP($S39,ConvErosResBedS,4,TRUE)&gt;0,VLOOKUP($S39,ConvErosResBedS,4,TRUE),"-")</f>
        <v>0.3</v>
      </c>
      <c r="X39" s="134"/>
      <c r="Y39" s="115" t="s">
        <v>111</v>
      </c>
      <c r="Z39" s="133">
        <f>IF(VLOOKUP($S39,ConvErosResBedS,6,TRUE)&gt;0,VLOOKUP($S39,ConvErosResBedS,6,TRUE),"-")</f>
        <v>0.4</v>
      </c>
      <c r="AA39" s="134"/>
      <c r="AB39" s="115" t="s">
        <v>111</v>
      </c>
      <c r="AC39" s="133" t="str">
        <f>IF(VLOOKUP($S39,ConvErodibleBedS,2,TRUE)&gt;0,VLOOKUP($S39,ConvErodibleBedS,2,TRUE),"-")</f>
        <v>-</v>
      </c>
      <c r="AD39" s="134"/>
      <c r="AE39" s="115" t="s">
        <v>111</v>
      </c>
      <c r="AF39" s="133" t="str">
        <f>IF(VLOOKUP($S39,ConvErodibleBedS,4,TRUE)&gt;0,VLOOKUP($S39,ConvErodibleBedS,4,TRUE),"-")</f>
        <v>-</v>
      </c>
      <c r="AG39" s="134"/>
      <c r="AH39" s="115" t="s">
        <v>111</v>
      </c>
      <c r="AI39" s="127">
        <f>IF(VLOOKUP($S39,ConvErodibleBedS,6,TRUE)&gt;0,VLOOKUP($S39,ConvErodibleBedS,6,TRUE),"-")</f>
        <v>0.2</v>
      </c>
      <c r="AJ39" s="128"/>
      <c r="AK39" s="115" t="s">
        <v>111</v>
      </c>
    </row>
    <row r="40" spans="1:37" ht="18" customHeight="1" x14ac:dyDescent="0.3">
      <c r="A40" s="182" t="s">
        <v>217</v>
      </c>
      <c r="B40" s="183"/>
      <c r="S40" s="69">
        <f>B33</f>
        <v>11.9</v>
      </c>
      <c r="T40" s="133">
        <f>IF(VLOOKUP($S40,MulchErosResBedS,2,TRUE)&gt;0,VLOOKUP($S40,MulchErosResBedS,2,TRUE),"-")</f>
        <v>0.6</v>
      </c>
      <c r="U40" s="134"/>
      <c r="V40" s="115" t="s">
        <v>111</v>
      </c>
      <c r="W40" s="133">
        <f>IF(VLOOKUP($S40,MulchErosResBedS,4,TRUE)&gt;0,VLOOKUP($S40,MulchErosResBedS,4,TRUE),"-")</f>
        <v>0.9</v>
      </c>
      <c r="X40" s="134"/>
      <c r="Y40" s="115" t="s">
        <v>111</v>
      </c>
      <c r="Z40" s="133">
        <f>IF(VLOOKUP($S40,MulchErosResBedS,6,TRUE)&gt;0,VLOOKUP($S40,MulchErosResBedS,6,TRUE),"-")</f>
        <v>1.1000000000000001</v>
      </c>
      <c r="AA40" s="134"/>
      <c r="AB40" s="115" t="s">
        <v>111</v>
      </c>
      <c r="AC40" s="133">
        <f>IF(VLOOKUP($S40,MulchErodibleBedS,2,TRUE)&gt;0,VLOOKUP($S40,MulchErodibleBedS,2,TRUE),"-")</f>
        <v>0.3</v>
      </c>
      <c r="AD40" s="134"/>
      <c r="AE40" s="115" t="s">
        <v>111</v>
      </c>
      <c r="AF40" s="133">
        <f>IF(VLOOKUP($S40,MulchErodibleBedS,4,TRUE)&gt;0,VLOOKUP($S40,MulchErodibleBedS,4,TRUE),"-")</f>
        <v>0.4</v>
      </c>
      <c r="AG40" s="134"/>
      <c r="AH40" s="115" t="s">
        <v>111</v>
      </c>
      <c r="AI40" s="127">
        <f>IF(VLOOKUP($S40,MulchErodibleBedS,6,TRUE)&gt;0,VLOOKUP($S40,MulchErodibleBedS,6,TRUE),"-")</f>
        <v>0.5</v>
      </c>
      <c r="AJ40" s="128"/>
      <c r="AK40" s="115" t="s">
        <v>111</v>
      </c>
    </row>
    <row r="41" spans="1:37" ht="18" customHeight="1" x14ac:dyDescent="0.3">
      <c r="A41" s="182" t="s">
        <v>218</v>
      </c>
      <c r="B41" s="183"/>
      <c r="S41" s="69">
        <f>B33</f>
        <v>11.9</v>
      </c>
      <c r="T41" s="133">
        <f>IF(VLOOKUP($S41,NoTillErosResBedS,2,TRUE)&gt;0,VLOOKUP($S41,NoTillErosResBedS,2,TRUE),"-")</f>
        <v>1.4</v>
      </c>
      <c r="U41" s="134"/>
      <c r="V41" s="115" t="s">
        <v>111</v>
      </c>
      <c r="W41" s="133">
        <f>IF(VLOOKUP($S41,NoTillErosResBedS,4,TRUE)&gt;0,VLOOKUP($S41,NoTillErosResBedS,4,TRUE),"-")</f>
        <v>2</v>
      </c>
      <c r="X41" s="134"/>
      <c r="Y41" s="115" t="s">
        <v>111</v>
      </c>
      <c r="Z41" s="133">
        <f>IF(VLOOKUP($S41,NoTillErosResBedS,6,TRUE)&gt;0,VLOOKUP($S41,NoTillErosResBedS,6,TRUE),"-")</f>
        <v>2.6</v>
      </c>
      <c r="AA41" s="134"/>
      <c r="AB41" s="115" t="s">
        <v>111</v>
      </c>
      <c r="AC41" s="133">
        <f>IF(VLOOKUP($S41,NoTillErodibleBedS,2,TRUE)&gt;0,VLOOKUP($S41,NoTillErodibleBedS,2,TRUE),"-")</f>
        <v>0.7</v>
      </c>
      <c r="AD41" s="134"/>
      <c r="AE41" s="115" t="s">
        <v>111</v>
      </c>
      <c r="AF41" s="133">
        <f>IF(VLOOKUP($S41,NoTillErodibleBedS,4,TRUE)&gt;0,VLOOKUP($S41,NoTillErodibleBedS,4,TRUE),"-")</f>
        <v>1</v>
      </c>
      <c r="AG41" s="134"/>
      <c r="AH41" s="115" t="s">
        <v>111</v>
      </c>
      <c r="AI41" s="127">
        <f>IF(VLOOKUP($S41,NoTillErodibleBedS,6,TRUE)&gt;0,VLOOKUP($S41,NoTillErodibleBedS,6,TRUE),"-")</f>
        <v>1.2</v>
      </c>
      <c r="AJ41" s="128"/>
      <c r="AK41" s="115" t="s">
        <v>111</v>
      </c>
    </row>
    <row r="42" spans="1:37" ht="18" customHeight="1" thickBot="1" x14ac:dyDescent="0.35">
      <c r="A42" s="184" t="s">
        <v>132</v>
      </c>
      <c r="B42" s="185"/>
      <c r="S42" s="70">
        <f>B33</f>
        <v>11.9</v>
      </c>
      <c r="T42" s="123">
        <f>IF(VLOOKUP($S42,CCErosionResBedS,2,TRUE)&gt;0,VLOOKUP($S42,CCErosionResBedS,2,TRUE),"-")</f>
        <v>2</v>
      </c>
      <c r="U42" s="124"/>
      <c r="V42" s="116" t="s">
        <v>111</v>
      </c>
      <c r="W42" s="123">
        <f>IF(VLOOKUP($S42,CCErosionResBedS,4,TRUE)&gt;0,VLOOKUP($S42,CCErosionResBedS,4,TRUE),"-")</f>
        <v>3.5</v>
      </c>
      <c r="X42" s="124"/>
      <c r="Y42" s="116" t="s">
        <v>111</v>
      </c>
      <c r="Z42" s="123">
        <f>IF(VLOOKUP($S42,CCErosionResBedS,6,TRUE)&gt;0,VLOOKUP($S42,CCErosionResBedS,6,TRUE),"-")</f>
        <v>5.5</v>
      </c>
      <c r="AA42" s="124"/>
      <c r="AB42" s="116" t="s">
        <v>111</v>
      </c>
      <c r="AC42" s="123">
        <f>IF(VLOOKUP($S42,CCErodibleBedS,2,TRUE)&gt;0,VLOOKUP($S42,CCErodibleBedS,2,TRUE),"-")</f>
        <v>0.9</v>
      </c>
      <c r="AD42" s="124"/>
      <c r="AE42" s="116" t="s">
        <v>111</v>
      </c>
      <c r="AF42" s="123">
        <f>IF(VLOOKUP($S42,CCErodibleBedS,4,TRUE)&gt;0,VLOOKUP($S42,CCErodibleBedS,4,TRUE),"-")</f>
        <v>1.8</v>
      </c>
      <c r="AG42" s="124"/>
      <c r="AH42" s="116" t="s">
        <v>111</v>
      </c>
      <c r="AI42" s="129">
        <f>IF(VLOOKUP($S42,CCErodibleBedS,6,TRUE)&gt;0,VLOOKUP($S42,CCErodibleBedS,6,TRUE),"-")</f>
        <v>2.8</v>
      </c>
      <c r="AJ42" s="130"/>
      <c r="AK42" s="116" t="s">
        <v>111</v>
      </c>
    </row>
    <row r="43" spans="1:37" ht="18" customHeight="1" x14ac:dyDescent="0.3"/>
    <row r="44" spans="1:37" ht="18" customHeight="1" x14ac:dyDescent="0.3"/>
    <row r="45" spans="1:37" ht="18" customHeight="1" x14ac:dyDescent="0.3"/>
    <row r="46" spans="1:37" ht="18" customHeight="1" x14ac:dyDescent="0.3"/>
    <row r="47" spans="1:37" ht="18" customHeight="1" x14ac:dyDescent="0.3"/>
    <row r="48" spans="1:37" ht="18" customHeight="1" x14ac:dyDescent="0.3"/>
    <row r="49" ht="18" customHeight="1" x14ac:dyDescent="0.3"/>
    <row r="50" ht="18" customHeight="1" x14ac:dyDescent="0.3"/>
    <row r="51" ht="18" customHeight="1" x14ac:dyDescent="0.3"/>
    <row r="52" ht="18" customHeight="1" x14ac:dyDescent="0.3"/>
    <row r="53" ht="9.75" customHeight="1" x14ac:dyDescent="0.3"/>
    <row r="59" ht="7.5" customHeight="1" x14ac:dyDescent="0.3"/>
  </sheetData>
  <sheetProtection algorithmName="SHA-512" hashValue="6U/gqiZyAkhAvl2VecRzdSnmqEaMuVXnTw2vySq+kd1KNQlTzErFYf2E1Gy5E8i1xc/3hMj9Kx1P/hWhcuRcWQ==" saltValue="7N+qvWGFLX6hSimOQjt8Yg==" spinCount="100000" sheet="1" objects="1" scenarios="1" selectLockedCells="1"/>
  <mergeCells count="103">
    <mergeCell ref="S15:AK15"/>
    <mergeCell ref="Z29:AA29"/>
    <mergeCell ref="AF25:AG25"/>
    <mergeCell ref="AF26:AG26"/>
    <mergeCell ref="AF27:AG27"/>
    <mergeCell ref="AF28:AG28"/>
    <mergeCell ref="AF29:AG29"/>
    <mergeCell ref="AI25:AJ25"/>
    <mergeCell ref="AI26:AJ26"/>
    <mergeCell ref="AI27:AJ27"/>
    <mergeCell ref="AI28:AJ28"/>
    <mergeCell ref="AI29:AJ29"/>
    <mergeCell ref="A40:B40"/>
    <mergeCell ref="A41:B41"/>
    <mergeCell ref="A42:B42"/>
    <mergeCell ref="S31:AK31"/>
    <mergeCell ref="A35:B37"/>
    <mergeCell ref="A38:B38"/>
    <mergeCell ref="A39:B39"/>
    <mergeCell ref="S35:S36"/>
    <mergeCell ref="T36:AB36"/>
    <mergeCell ref="AC36:AK36"/>
    <mergeCell ref="T35:AK35"/>
    <mergeCell ref="T34:AK34"/>
    <mergeCell ref="T42:U42"/>
    <mergeCell ref="W38:X38"/>
    <mergeCell ref="W39:X39"/>
    <mergeCell ref="W40:X40"/>
    <mergeCell ref="W41:X41"/>
    <mergeCell ref="W42:X42"/>
    <mergeCell ref="AI37:AK37"/>
    <mergeCell ref="T38:U38"/>
    <mergeCell ref="T39:U39"/>
    <mergeCell ref="T40:U40"/>
    <mergeCell ref="T41:U41"/>
    <mergeCell ref="Z38:AA38"/>
    <mergeCell ref="A22:A24"/>
    <mergeCell ref="S22:S23"/>
    <mergeCell ref="T22:AK22"/>
    <mergeCell ref="T23:AB23"/>
    <mergeCell ref="AC23:AK23"/>
    <mergeCell ref="A1:AK1"/>
    <mergeCell ref="B3:V3"/>
    <mergeCell ref="B4:V4"/>
    <mergeCell ref="Z3:AB3"/>
    <mergeCell ref="Z4:AB4"/>
    <mergeCell ref="AE3:AH3"/>
    <mergeCell ref="AE4:AH4"/>
    <mergeCell ref="R23:R24"/>
    <mergeCell ref="T24:V24"/>
    <mergeCell ref="W24:Y24"/>
    <mergeCell ref="Z24:AB24"/>
    <mergeCell ref="AC24:AE24"/>
    <mergeCell ref="AF24:AH24"/>
    <mergeCell ref="AI24:AK24"/>
    <mergeCell ref="B17:S19"/>
    <mergeCell ref="C22:C23"/>
    <mergeCell ref="T21:AK21"/>
    <mergeCell ref="B22:B24"/>
    <mergeCell ref="V7:AK11"/>
    <mergeCell ref="T37:V37"/>
    <mergeCell ref="W37:Y37"/>
    <mergeCell ref="Z37:AB37"/>
    <mergeCell ref="AC37:AE37"/>
    <mergeCell ref="AF37:AH37"/>
    <mergeCell ref="T27:U27"/>
    <mergeCell ref="T28:U28"/>
    <mergeCell ref="T29:U29"/>
    <mergeCell ref="W25:X25"/>
    <mergeCell ref="W26:X26"/>
    <mergeCell ref="W27:X27"/>
    <mergeCell ref="W28:X28"/>
    <mergeCell ref="W29:X29"/>
    <mergeCell ref="AC25:AD25"/>
    <mergeCell ref="AC26:AD26"/>
    <mergeCell ref="AC27:AD27"/>
    <mergeCell ref="T25:U25"/>
    <mergeCell ref="T26:U26"/>
    <mergeCell ref="AC28:AD28"/>
    <mergeCell ref="AC29:AD29"/>
    <mergeCell ref="Z25:AA25"/>
    <mergeCell ref="Z26:AA26"/>
    <mergeCell ref="Z27:AA27"/>
    <mergeCell ref="Z28:AA28"/>
    <mergeCell ref="AF42:AG42"/>
    <mergeCell ref="AI38:AJ38"/>
    <mergeCell ref="AI39:AJ39"/>
    <mergeCell ref="AI40:AJ40"/>
    <mergeCell ref="AI41:AJ41"/>
    <mergeCell ref="AI42:AJ42"/>
    <mergeCell ref="Z42:AA42"/>
    <mergeCell ref="AC38:AD38"/>
    <mergeCell ref="AC39:AD39"/>
    <mergeCell ref="AC40:AD40"/>
    <mergeCell ref="AC41:AD41"/>
    <mergeCell ref="AC42:AD42"/>
    <mergeCell ref="Z39:AA39"/>
    <mergeCell ref="Z40:AA40"/>
    <mergeCell ref="Z41:AA41"/>
    <mergeCell ref="AF38:AG38"/>
    <mergeCell ref="AF39:AG39"/>
    <mergeCell ref="AF40:AG40"/>
    <mergeCell ref="AF41:AG41"/>
  </mergeCells>
  <conditionalFormatting sqref="T25:T27 W25:W27 Z25:Z27 AC25:AC27 AF25:AF27 AI25:AI27 AI29 AF29 AC29 Z29 W29 T29">
    <cfRule type="cellIs" dxfId="60" priority="65" operator="equal">
      <formula>"-"</formula>
    </cfRule>
    <cfRule type="cellIs" dxfId="59" priority="66" operator="lessThan">
      <formula>$B$14</formula>
    </cfRule>
  </conditionalFormatting>
  <conditionalFormatting sqref="T25:T27 W25:W27 Z25:Z27 AC25:AC27 AF25:AF27 AI25:AI27 AI29 AF29 AC29 Z29 W29 T29">
    <cfRule type="cellIs" dxfId="58" priority="67" operator="greaterThanOrEqual">
      <formula>$B$14</formula>
    </cfRule>
  </conditionalFormatting>
  <conditionalFormatting sqref="B8">
    <cfRule type="cellIs" dxfId="57" priority="64" operator="equal">
      <formula>"-"</formula>
    </cfRule>
  </conditionalFormatting>
  <conditionalFormatting sqref="B21">
    <cfRule type="cellIs" dxfId="56" priority="3" operator="equal">
      <formula>"N/A!"</formula>
    </cfRule>
    <cfRule type="cellIs" dxfId="55" priority="62" operator="lessThan">
      <formula>$B$14</formula>
    </cfRule>
  </conditionalFormatting>
  <conditionalFormatting sqref="B21">
    <cfRule type="cellIs" dxfId="54" priority="63" operator="greaterThanOrEqual">
      <formula>$B$14</formula>
    </cfRule>
  </conditionalFormatting>
  <conditionalFormatting sqref="B21">
    <cfRule type="cellIs" dxfId="53" priority="61" operator="equal">
      <formula>"-"</formula>
    </cfRule>
  </conditionalFormatting>
  <conditionalFormatting sqref="S21:AK21">
    <cfRule type="expression" dxfId="52" priority="2">
      <formula>$B$21="N/A!"</formula>
    </cfRule>
    <cfRule type="expression" dxfId="51" priority="44">
      <formula>$B$21="-"</formula>
    </cfRule>
    <cfRule type="expression" dxfId="50" priority="46">
      <formula>$B$21&gt;=$B$14</formula>
    </cfRule>
    <cfRule type="expression" dxfId="49" priority="60">
      <formula>$B$21&lt;$B$14</formula>
    </cfRule>
  </conditionalFormatting>
  <conditionalFormatting sqref="T28 W28 Z28 AC28 AF28 AI28">
    <cfRule type="cellIs" dxfId="48" priority="58" operator="lessThan">
      <formula>$B$14</formula>
    </cfRule>
  </conditionalFormatting>
  <conditionalFormatting sqref="T28 W28 Z28 AC28 AF28 AI28">
    <cfRule type="cellIs" dxfId="47" priority="59" operator="greaterThanOrEqual">
      <formula>$B$14</formula>
    </cfRule>
  </conditionalFormatting>
  <conditionalFormatting sqref="T28 W28 Z28 AC28 AF28 AI28">
    <cfRule type="cellIs" dxfId="46" priority="57" operator="equal">
      <formula>"-"</formula>
    </cfRule>
  </conditionalFormatting>
  <conditionalFormatting sqref="B34">
    <cfRule type="cellIs" dxfId="45" priority="55" operator="lessThan">
      <formula>$B$14</formula>
    </cfRule>
  </conditionalFormatting>
  <conditionalFormatting sqref="B34">
    <cfRule type="cellIs" dxfId="44" priority="56" operator="greaterThanOrEqual">
      <formula>$B$14</formula>
    </cfRule>
  </conditionalFormatting>
  <conditionalFormatting sqref="B34">
    <cfRule type="cellIs" dxfId="43" priority="54" operator="equal">
      <formula>"-"</formula>
    </cfRule>
  </conditionalFormatting>
  <conditionalFormatting sqref="T34:AK34">
    <cfRule type="expression" dxfId="42" priority="45">
      <formula>$B$34&gt;=$B$14</formula>
    </cfRule>
    <cfRule type="expression" dxfId="41" priority="53">
      <formula>$B$34&lt;$B$14</formula>
    </cfRule>
  </conditionalFormatting>
  <conditionalFormatting sqref="T38:T40 W38:W40 Z38:Z40 AC38:AC40 AF38:AF40 AI38:AI40 AI42 AF42 AC42 Z42 W42 T42">
    <cfRule type="cellIs" dxfId="40" priority="51" operator="lessThan">
      <formula>$B$14</formula>
    </cfRule>
  </conditionalFormatting>
  <conditionalFormatting sqref="T38:T40 W38:W40 Z38:Z40 AC38:AC40 AF38:AF40 AI38:AI40 AI42 AF42 AC42 Z42 W42 T42">
    <cfRule type="cellIs" dxfId="39" priority="52" operator="greaterThanOrEqual">
      <formula>$B$14</formula>
    </cfRule>
  </conditionalFormatting>
  <conditionalFormatting sqref="T38:T40 W38:W40 Z38:Z40 AC38:AC40 AF38:AF40 AI38:AI40 AI42 AF42 AC42 Z42 W42 T42">
    <cfRule type="cellIs" dxfId="38" priority="50" operator="equal">
      <formula>"-"</formula>
    </cfRule>
  </conditionalFormatting>
  <conditionalFormatting sqref="T41 W41 Z41 AC41 AF41 AI41">
    <cfRule type="cellIs" dxfId="37" priority="48" operator="lessThan">
      <formula>$B$14</formula>
    </cfRule>
  </conditionalFormatting>
  <conditionalFormatting sqref="T41 W41 Z41 AC41 AF41 AI41">
    <cfRule type="cellIs" dxfId="36" priority="49" operator="greaterThanOrEqual">
      <formula>$B$14</formula>
    </cfRule>
  </conditionalFormatting>
  <conditionalFormatting sqref="T41 W41 Z41 AC41 AF41 AI41">
    <cfRule type="cellIs" dxfId="35" priority="47" operator="equal">
      <formula>"-"</formula>
    </cfRule>
  </conditionalFormatting>
  <conditionalFormatting sqref="S34:AK34">
    <cfRule type="expression" dxfId="34" priority="41">
      <formula>$B$34="-"</formula>
    </cfRule>
    <cfRule type="expression" dxfId="33" priority="42">
      <formula>$B$34&gt;=$B$14</formula>
    </cfRule>
    <cfRule type="expression" dxfId="32" priority="43">
      <formula>$B$34&lt;$B$14</formula>
    </cfRule>
  </conditionalFormatting>
  <conditionalFormatting sqref="A25:S29">
    <cfRule type="expression" dxfId="31" priority="39">
      <formula>$A25&lt;&gt;$B$20</formula>
    </cfRule>
    <cfRule type="expression" dxfId="30" priority="40">
      <formula>$A25=$B$20</formula>
    </cfRule>
  </conditionalFormatting>
  <conditionalFormatting sqref="A38:S42">
    <cfRule type="expression" dxfId="29" priority="35">
      <formula>$A38=$B$31</formula>
    </cfRule>
    <cfRule type="expression" dxfId="28" priority="36">
      <formula>$A38&lt;&gt;$B$31</formula>
    </cfRule>
  </conditionalFormatting>
  <conditionalFormatting sqref="T23:AB29">
    <cfRule type="expression" dxfId="27" priority="8">
      <formula>$B$15="Erodible"</formula>
    </cfRule>
  </conditionalFormatting>
  <conditionalFormatting sqref="AC23:AK29">
    <cfRule type="expression" dxfId="26" priority="7">
      <formula>$B$15="Very Erosion Resistant"</formula>
    </cfRule>
    <cfRule type="expression" dxfId="25" priority="12">
      <formula>$B$15="Erosion Resistant"</formula>
    </cfRule>
  </conditionalFormatting>
  <conditionalFormatting sqref="T24:V24">
    <cfRule type="expression" dxfId="24" priority="23">
      <formula>$B$16="10' TW"</formula>
    </cfRule>
  </conditionalFormatting>
  <conditionalFormatting sqref="W24:Y24">
    <cfRule type="expression" dxfId="23" priority="30">
      <formula>$B$16="15' TW"</formula>
    </cfRule>
  </conditionalFormatting>
  <conditionalFormatting sqref="Z24:AB24">
    <cfRule type="expression" dxfId="22" priority="25">
      <formula>$B$16="20' TW"</formula>
    </cfRule>
  </conditionalFormatting>
  <conditionalFormatting sqref="T36:AB42">
    <cfRule type="expression" dxfId="21" priority="15">
      <formula>$B$15="Erodible"</formula>
    </cfRule>
  </conditionalFormatting>
  <conditionalFormatting sqref="T37:V37">
    <cfRule type="expression" dxfId="20" priority="20">
      <formula>$B$16="10' TW"</formula>
    </cfRule>
  </conditionalFormatting>
  <conditionalFormatting sqref="AC36:AK42">
    <cfRule type="expression" dxfId="19" priority="6">
      <formula>$B$15="Very Erosion Resistant"</formula>
    </cfRule>
    <cfRule type="expression" dxfId="18" priority="9">
      <formula>$B$15="Erosion Resistant"</formula>
    </cfRule>
  </conditionalFormatting>
  <conditionalFormatting sqref="W37:Y37">
    <cfRule type="expression" dxfId="17" priority="22">
      <formula>$B$16="15' TW"</formula>
    </cfRule>
  </conditionalFormatting>
  <conditionalFormatting sqref="Z37:AB37">
    <cfRule type="expression" dxfId="16" priority="21">
      <formula>$B$16="20' TW"</formula>
    </cfRule>
  </conditionalFormatting>
  <conditionalFormatting sqref="AC24:AE24">
    <cfRule type="expression" dxfId="15" priority="33">
      <formula>$B$16="10' TW"</formula>
    </cfRule>
  </conditionalFormatting>
  <conditionalFormatting sqref="AF24:AH24">
    <cfRule type="expression" dxfId="14" priority="32">
      <formula>$B$16="15' TW"</formula>
    </cfRule>
  </conditionalFormatting>
  <conditionalFormatting sqref="AI24:AK24">
    <cfRule type="expression" dxfId="13" priority="14">
      <formula>$B$16="20' TW"</formula>
    </cfRule>
  </conditionalFormatting>
  <conditionalFormatting sqref="AC37:AE37">
    <cfRule type="expression" dxfId="12" priority="18">
      <formula>$B$16="10' TW"</formula>
    </cfRule>
  </conditionalFormatting>
  <conditionalFormatting sqref="AF37:AH37">
    <cfRule type="expression" dxfId="11" priority="17">
      <formula>$B$16="15' TW"</formula>
    </cfRule>
  </conditionalFormatting>
  <conditionalFormatting sqref="AI37:AK37">
    <cfRule type="expression" dxfId="10" priority="11">
      <formula>$B$16="20' TW"</formula>
    </cfRule>
  </conditionalFormatting>
  <conditionalFormatting sqref="S15:AK15">
    <cfRule type="expression" dxfId="9" priority="5">
      <formula>$B$15="Easily Eroded"</formula>
    </cfRule>
  </conditionalFormatting>
  <conditionalFormatting sqref="A22:AK42">
    <cfRule type="expression" dxfId="8" priority="1">
      <formula>$B$21="N/A!"</formula>
    </cfRule>
  </conditionalFormatting>
  <dataValidations count="4">
    <dataValidation type="decimal" allowBlank="1" showInputMessage="1" showErrorMessage="1" error="Average Watershed Slope must be in the range of 0.5% to 20%" sqref="B11" xr:uid="{00000000-0002-0000-0100-000000000000}">
      <formula1>0.5</formula1>
      <formula2>20</formula2>
    </dataValidation>
    <dataValidation type="decimal" allowBlank="1" showInputMessage="1" showErrorMessage="1" error="Drainage Area must be in the range of 0.5 to 30 acres" sqref="B10" xr:uid="{00000000-0002-0000-0100-000001000000}">
      <formula1>0.5</formula1>
      <formula2>30</formula2>
    </dataValidation>
    <dataValidation type="list" allowBlank="1" showInputMessage="1" showErrorMessage="1" sqref="B20 B31" xr:uid="{00000000-0002-0000-0100-000002000000}">
      <formula1>$A$25:$A$29</formula1>
    </dataValidation>
    <dataValidation type="decimal" allowBlank="1" showInputMessage="1" showErrorMessage="1" error="Bed Slope must be in the range of 0.5% to 20%" sqref="B14" xr:uid="{00000000-0002-0000-0100-000003000000}">
      <formula1>0.5</formula1>
      <formula2>20</formula2>
    </dataValidation>
  </dataValidations>
  <printOptions horizontalCentered="1"/>
  <pageMargins left="0.5" right="0.45" top="0.5" bottom="0.5" header="0.3" footer="0"/>
  <pageSetup scale="60" orientation="portrait" verticalDpi="597" r:id="rId1"/>
  <headerFooter>
    <oddHeader>&amp;LUSDA NRCS&amp;RNE-ECS-___</oddHead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4000000}">
          <x14:formula1>
            <xm:f>County!$B$1:$E$1</xm:f>
          </x14:formula1>
          <xm:sqref>B6</xm:sqref>
        </x14:dataValidation>
        <x14:dataValidation type="list" allowBlank="1" showInputMessage="1" showErrorMessage="1" xr:uid="{00000000-0002-0000-0100-000005000000}">
          <x14:formula1>
            <xm:f>County!$A$2:$A$94</xm:f>
          </x14:formula1>
          <xm:sqref>B7</xm:sqref>
        </x14:dataValidation>
        <x14:dataValidation type="list" allowBlank="1" showInputMessage="1" showErrorMessage="1" xr:uid="{00000000-0002-0000-0100-000006000000}">
          <x14:formula1>
            <xm:f>County!$T$2:$W$2</xm:f>
          </x14:formula1>
          <xm:sqref>B9</xm:sqref>
        </x14:dataValidation>
        <x14:dataValidation type="list" allowBlank="1" showInputMessage="1" showErrorMessage="1" xr:uid="{00000000-0002-0000-0100-000007000000}">
          <x14:formula1>
            <xm:f>County!$Y$2:$Y$5</xm:f>
          </x14:formula1>
          <xm:sqref>B15</xm:sqref>
        </x14:dataValidation>
        <x14:dataValidation type="list" allowBlank="1" showInputMessage="1" showErrorMessage="1" xr:uid="{00000000-0002-0000-0100-000008000000}">
          <x14:formula1>
            <xm:f>County!$AA$2:$AA$4</xm:f>
          </x14:formula1>
          <xm:sqref>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42"/>
  <sheetViews>
    <sheetView showGridLines="0" showRowColHeaders="0" zoomScale="90" zoomScaleNormal="90" zoomScaleSheetLayoutView="102" workbookViewId="0">
      <selection activeCell="P5" sqref="P5"/>
    </sheetView>
  </sheetViews>
  <sheetFormatPr defaultRowHeight="14.4" x14ac:dyDescent="0.3"/>
  <cols>
    <col min="1" max="1" width="13.5546875" customWidth="1"/>
    <col min="2" max="2" width="19" customWidth="1"/>
    <col min="3" max="3" width="11.44140625" hidden="1" customWidth="1"/>
    <col min="4" max="4" width="13.33203125" hidden="1" customWidth="1"/>
    <col min="5" max="14" width="5.6640625" hidden="1" customWidth="1"/>
    <col min="15" max="15" width="13.33203125" hidden="1" customWidth="1"/>
    <col min="16" max="16" width="14.44140625" customWidth="1"/>
    <col min="17" max="17" width="10.6640625" customWidth="1"/>
    <col min="18" max="18" width="8.33203125" customWidth="1"/>
    <col min="19" max="19" width="10.6640625" customWidth="1"/>
    <col min="20" max="20" width="8.33203125" customWidth="1"/>
    <col min="21" max="21" width="10.6640625" customWidth="1"/>
    <col min="22" max="22" width="8.33203125" customWidth="1"/>
    <col min="23" max="23" width="10.6640625" customWidth="1"/>
    <col min="24" max="24" width="8.33203125" customWidth="1"/>
    <col min="25" max="25" width="10.6640625" customWidth="1"/>
    <col min="26" max="26" width="8.33203125" customWidth="1"/>
    <col min="27" max="27" width="10.6640625" customWidth="1"/>
    <col min="28" max="28" width="8.33203125" customWidth="1"/>
  </cols>
  <sheetData>
    <row r="1" spans="1:41" ht="18" customHeight="1" x14ac:dyDescent="0.4">
      <c r="A1" s="211" t="s">
        <v>15</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row>
    <row r="2" spans="1:41" ht="13.5" customHeight="1" x14ac:dyDescent="0.3"/>
    <row r="3" spans="1:41" ht="18" customHeight="1" x14ac:dyDescent="0.3">
      <c r="B3" s="13" t="s">
        <v>57</v>
      </c>
      <c r="C3" s="13"/>
      <c r="D3" s="13"/>
      <c r="E3" s="13" t="s">
        <v>97</v>
      </c>
      <c r="F3" s="13">
        <f>MATCH(T3,County!B1:H1)</f>
        <v>2</v>
      </c>
      <c r="G3" s="13"/>
      <c r="H3" s="13"/>
      <c r="I3" s="13"/>
      <c r="J3" s="13"/>
      <c r="K3" s="13"/>
      <c r="L3" s="13"/>
      <c r="M3" s="13"/>
      <c r="N3" s="13"/>
      <c r="O3" s="13"/>
      <c r="P3" s="118" t="str">
        <f>'Field Worksheet'!B7</f>
        <v>PLATTE</v>
      </c>
      <c r="Q3" s="212">
        <f>VLOOKUP(P3,County!A2:H115,F3+1)</f>
        <v>2.83</v>
      </c>
      <c r="R3" s="213"/>
      <c r="S3" t="s">
        <v>95</v>
      </c>
      <c r="T3" s="97">
        <v>2</v>
      </c>
      <c r="U3" s="9" t="s">
        <v>96</v>
      </c>
      <c r="AO3" s="19"/>
    </row>
    <row r="4" spans="1:41" ht="18" customHeight="1" x14ac:dyDescent="0.3"/>
    <row r="5" spans="1:41" ht="18" customHeight="1" x14ac:dyDescent="0.3">
      <c r="B5" s="5" t="s">
        <v>16</v>
      </c>
      <c r="C5" s="5"/>
      <c r="E5" s="5" t="s">
        <v>86</v>
      </c>
      <c r="F5" s="8">
        <f>MIN(MAX(ROUNDUP(0.2*((1000/$P$5)-10)/$Q$3,2),0.1),0.5)</f>
        <v>0.2</v>
      </c>
      <c r="G5" s="5"/>
      <c r="H5" s="5"/>
      <c r="I5" s="5"/>
      <c r="J5" s="5"/>
      <c r="K5" s="5"/>
      <c r="L5" s="5"/>
      <c r="M5" s="5"/>
      <c r="N5" s="5"/>
      <c r="O5" s="5"/>
      <c r="P5" s="30">
        <v>78</v>
      </c>
      <c r="Q5" s="17" t="s">
        <v>24</v>
      </c>
    </row>
    <row r="6" spans="1:41" ht="18" customHeight="1" x14ac:dyDescent="0.3">
      <c r="B6" s="5"/>
      <c r="C6" s="5"/>
      <c r="D6" s="5"/>
      <c r="E6" s="5" t="s">
        <v>94</v>
      </c>
      <c r="F6" s="5"/>
      <c r="G6" s="5"/>
      <c r="H6" s="5"/>
      <c r="I6" s="5"/>
      <c r="J6" s="5" t="s">
        <v>93</v>
      </c>
      <c r="K6" s="5"/>
      <c r="L6" s="5"/>
      <c r="M6" s="5"/>
      <c r="N6" s="5"/>
      <c r="P6" s="2">
        <f>ROUNDUP(($Q$3-(0.2*(1000/$P$5-10)))^2/($Q$3+0.8*(1000/$P$5-10)),2)</f>
        <v>1.01</v>
      </c>
      <c r="Q6" s="214" t="s">
        <v>98</v>
      </c>
      <c r="R6" s="214"/>
      <c r="S6" s="214"/>
      <c r="T6" s="214"/>
      <c r="U6" s="214"/>
      <c r="V6" s="214"/>
      <c r="W6" s="214"/>
      <c r="X6" s="214"/>
      <c r="Y6" s="214"/>
      <c r="Z6" s="214"/>
      <c r="AA6" s="214"/>
      <c r="AB6" s="214"/>
    </row>
    <row r="7" spans="1:41" ht="18" customHeight="1" x14ac:dyDescent="0.3">
      <c r="E7" s="14">
        <f>IFERROR(MATCH(my_Iap,IaP_List,1),1)</f>
        <v>1</v>
      </c>
      <c r="J7">
        <f>IF(OR(my_Iap=0.1,my_Iap=0.5),Row_1,Row_1+1)</f>
        <v>2</v>
      </c>
      <c r="P7" s="10"/>
      <c r="Q7" s="9"/>
      <c r="R7" s="9"/>
    </row>
    <row r="8" spans="1:41" ht="18" customHeight="1" x14ac:dyDescent="0.3">
      <c r="A8" s="219" t="s">
        <v>17</v>
      </c>
      <c r="B8" s="217" t="s">
        <v>18</v>
      </c>
      <c r="C8" s="222" t="s">
        <v>80</v>
      </c>
      <c r="D8" s="222" t="s">
        <v>81</v>
      </c>
      <c r="E8" s="202" t="s">
        <v>94</v>
      </c>
      <c r="F8" s="202"/>
      <c r="G8" s="202"/>
      <c r="H8" s="202"/>
      <c r="I8" s="203"/>
      <c r="J8" s="202" t="s">
        <v>93</v>
      </c>
      <c r="K8" s="202"/>
      <c r="L8" s="202"/>
      <c r="M8" s="202"/>
      <c r="N8" s="203"/>
      <c r="O8" s="222" t="s">
        <v>83</v>
      </c>
      <c r="P8" s="215" t="s">
        <v>19</v>
      </c>
      <c r="Q8" s="221" t="s">
        <v>227</v>
      </c>
      <c r="R8" s="221"/>
      <c r="S8" s="221"/>
      <c r="T8" s="221"/>
      <c r="U8" s="221"/>
      <c r="V8" s="221"/>
      <c r="W8" s="221"/>
      <c r="X8" s="221"/>
      <c r="Y8" s="221"/>
      <c r="Z8" s="221"/>
      <c r="AA8" s="221"/>
      <c r="AB8" s="221"/>
    </row>
    <row r="9" spans="1:41" ht="18" customHeight="1" x14ac:dyDescent="0.3">
      <c r="A9" s="218"/>
      <c r="B9" s="218"/>
      <c r="C9" s="204"/>
      <c r="D9" s="204"/>
      <c r="E9" s="204" t="s">
        <v>91</v>
      </c>
      <c r="F9" s="204" t="s">
        <v>87</v>
      </c>
      <c r="G9" s="204" t="s">
        <v>88</v>
      </c>
      <c r="H9" s="204" t="s">
        <v>89</v>
      </c>
      <c r="I9" s="204" t="s">
        <v>92</v>
      </c>
      <c r="J9" s="204" t="s">
        <v>91</v>
      </c>
      <c r="K9" s="204" t="s">
        <v>87</v>
      </c>
      <c r="L9" s="204" t="s">
        <v>88</v>
      </c>
      <c r="M9" s="204" t="s">
        <v>89</v>
      </c>
      <c r="N9" s="204" t="s">
        <v>92</v>
      </c>
      <c r="O9" s="204"/>
      <c r="P9" s="216"/>
      <c r="Q9" s="220" t="s">
        <v>26</v>
      </c>
      <c r="R9" s="220"/>
      <c r="S9" s="220"/>
      <c r="T9" s="220"/>
      <c r="U9" s="220"/>
      <c r="V9" s="220"/>
      <c r="W9" s="220" t="s">
        <v>52</v>
      </c>
      <c r="X9" s="220"/>
      <c r="Y9" s="220"/>
      <c r="Z9" s="220"/>
      <c r="AA9" s="220"/>
      <c r="AB9" s="220"/>
    </row>
    <row r="10" spans="1:41" ht="18" customHeight="1" x14ac:dyDescent="0.3">
      <c r="A10" s="4" t="s">
        <v>13</v>
      </c>
      <c r="B10" s="4" t="s">
        <v>14</v>
      </c>
      <c r="C10" s="14" t="s">
        <v>79</v>
      </c>
      <c r="D10" s="14" t="s">
        <v>82</v>
      </c>
      <c r="E10" s="205"/>
      <c r="F10" s="205"/>
      <c r="G10" s="205"/>
      <c r="H10" s="205"/>
      <c r="I10" s="205"/>
      <c r="J10" s="205"/>
      <c r="K10" s="205"/>
      <c r="L10" s="205"/>
      <c r="M10" s="205"/>
      <c r="N10" s="205"/>
      <c r="O10" s="14" t="s">
        <v>84</v>
      </c>
      <c r="P10" s="14" t="s">
        <v>0</v>
      </c>
      <c r="Q10" s="200" t="s">
        <v>223</v>
      </c>
      <c r="R10" s="201"/>
      <c r="S10" s="200" t="s">
        <v>224</v>
      </c>
      <c r="T10" s="201"/>
      <c r="U10" s="200" t="s">
        <v>225</v>
      </c>
      <c r="V10" s="201"/>
      <c r="W10" s="200" t="s">
        <v>223</v>
      </c>
      <c r="X10" s="201"/>
      <c r="Y10" s="200" t="s">
        <v>224</v>
      </c>
      <c r="Z10" s="201"/>
      <c r="AA10" s="200" t="s">
        <v>225</v>
      </c>
      <c r="AB10" s="201"/>
    </row>
    <row r="11" spans="1:41" ht="18" customHeight="1" x14ac:dyDescent="0.3">
      <c r="A11" s="210">
        <v>2</v>
      </c>
      <c r="B11" s="87">
        <v>4</v>
      </c>
      <c r="C11" s="26">
        <f>ROUND(1.5*SQRT(A11*43560)/10,0)*10</f>
        <v>440</v>
      </c>
      <c r="D11" s="26">
        <f>ROUNDUP((C11^0.8)*(((1000/$P$5)-9)^0.7)/(1140*B11^0.5),2)</f>
        <v>0.15000000000000002</v>
      </c>
      <c r="E11" s="26">
        <f t="shared" ref="E11:E34" si="0">INDEX(IaP_List,Row_1)</f>
        <v>0.1</v>
      </c>
      <c r="F11" s="26">
        <f t="shared" ref="F11:F34" si="1">INDEX(Coeff0_List,Row_1)</f>
        <v>2.5532300000000001</v>
      </c>
      <c r="G11" s="26">
        <f t="shared" ref="G11:G34" si="2">INDEX(Coeff1_List,Row_1)</f>
        <v>-0.61512</v>
      </c>
      <c r="H11" s="26">
        <f t="shared" ref="H11:H34" si="3">INDEX(Coeff2_List,Row_1)</f>
        <v>-0.16403000000000001</v>
      </c>
      <c r="I11" s="2">
        <f>F11+(G11*LOG($D11))+(H11*LOG($D11)^2)</f>
        <v>2.9486849793629371</v>
      </c>
      <c r="J11" s="26">
        <f t="shared" ref="J11:J34" si="4">INDEX(IaP_List,Row_2)</f>
        <v>0.3</v>
      </c>
      <c r="K11" s="26">
        <f t="shared" ref="K11:K34" si="5">INDEX(Coeff0_List,Row_2)</f>
        <v>2.4653200000000002</v>
      </c>
      <c r="L11" s="26">
        <f t="shared" ref="L11:L34" si="6">INDEX(Coeff1_List,Row_2)</f>
        <v>-0.62256999999999996</v>
      </c>
      <c r="M11" s="26">
        <f t="shared" ref="M11:M34" si="7">INDEX(Coeff2_List,Row_2)</f>
        <v>-0.11656999999999999</v>
      </c>
      <c r="N11" s="2">
        <f>K11+(L11*LOG($D11))+(M11*LOG($D11)^2)</f>
        <v>2.8991301630951476</v>
      </c>
      <c r="O11" s="26">
        <f t="shared" ref="O11:O34" si="8">10^(IF(Row_1=Row_2,$I11,((N11-I11)*((E11-my_Iap)/(E11-J11))+I11)))/640</f>
        <v>1.311377105258446</v>
      </c>
      <c r="P11" s="29">
        <f>O11*A11*$P$6</f>
        <v>2.6489817526220607</v>
      </c>
      <c r="Q11" s="194" t="str">
        <f t="shared" ref="Q11:Q34" si="9">IF(VLOOKUP($P11,CCErosionResBedS,2,TRUE)&gt;0,VLOOKUP($P11,CCErosionResBedS,2,TRUE)&amp;"%","-")</f>
        <v>30%</v>
      </c>
      <c r="R11" s="195"/>
      <c r="S11" s="194" t="str">
        <f t="shared" ref="S11:S34" si="10">IF(VLOOKUP($P11,CCErosionResBedS,4,TRUE)&gt;0,VLOOKUP($P11,CCErosionResBedS,4,TRUE)&amp;"%","-")</f>
        <v>30%</v>
      </c>
      <c r="T11" s="195"/>
      <c r="U11" s="194" t="str">
        <f t="shared" ref="U11:U34" si="11">IF(VLOOKUP($P11,CCErosionResBedS,6,TRUE)&gt;0,VLOOKUP($P11,CCErosionResBedS,6,TRUE)&amp;"%","-")</f>
        <v>30%</v>
      </c>
      <c r="V11" s="195"/>
      <c r="W11" s="194" t="str">
        <f t="shared" ref="W11:W34" si="12">IF(VLOOKUP($P11,CCErodibleBedS,2,TRUE)&gt;0,VLOOKUP($P11,CCErodibleBedS,2,TRUE)&amp;"%","-")</f>
        <v>16%</v>
      </c>
      <c r="X11" s="195"/>
      <c r="Y11" s="194" t="str">
        <f t="shared" ref="Y11:Y34" si="13">IF(VLOOKUP($P11,CCErodibleBedS,4,TRUE)&gt;0,VLOOKUP($P11,CCErodibleBedS,4,TRUE)&amp;"%","-")</f>
        <v>30%</v>
      </c>
      <c r="Z11" s="195"/>
      <c r="AA11" s="194" t="str">
        <f t="shared" ref="AA11:AA34" si="14">IF(VLOOKUP($P11,CCErodibleBedS,6,TRUE)&gt;0,VLOOKUP($P11,CCErodibleBedS,6,TRUE)&amp;"%","-")</f>
        <v>30%</v>
      </c>
      <c r="AB11" s="195"/>
    </row>
    <row r="12" spans="1:41" ht="18" customHeight="1" x14ac:dyDescent="0.3">
      <c r="A12" s="207"/>
      <c r="B12" s="88">
        <v>6</v>
      </c>
      <c r="C12" s="14">
        <f>C11</f>
        <v>440</v>
      </c>
      <c r="D12" s="14">
        <f t="shared" ref="D12:D34" si="15">ROUNDUP((C12^0.8)*(((1000/$P$5)-9)^0.7)/(1140*B12^0.5),2)</f>
        <v>0.12</v>
      </c>
      <c r="E12" s="14">
        <f t="shared" si="0"/>
        <v>0.1</v>
      </c>
      <c r="F12" s="14">
        <f t="shared" si="1"/>
        <v>2.5532300000000001</v>
      </c>
      <c r="G12" s="14">
        <f t="shared" si="2"/>
        <v>-0.61512</v>
      </c>
      <c r="H12" s="14">
        <f t="shared" si="3"/>
        <v>-0.16403000000000001</v>
      </c>
      <c r="I12" s="2">
        <f t="shared" ref="I12:I34" si="16">F12+(G12*LOG($D12))+(H12*LOG($D12)^2)</f>
        <v>2.9805618175844697</v>
      </c>
      <c r="J12" s="14">
        <f t="shared" si="4"/>
        <v>0.3</v>
      </c>
      <c r="K12" s="14">
        <f t="shared" si="5"/>
        <v>2.4653200000000002</v>
      </c>
      <c r="L12" s="14">
        <f t="shared" si="6"/>
        <v>-0.62256999999999996</v>
      </c>
      <c r="M12" s="14">
        <f t="shared" si="7"/>
        <v>-0.11656999999999999</v>
      </c>
      <c r="N12" s="2">
        <f t="shared" ref="N12:N34" si="17">K12+(L12*LOG($D12))+(M12*LOG($D12)^2)</f>
        <v>2.9397535919517539</v>
      </c>
      <c r="O12" s="14">
        <f t="shared" si="8"/>
        <v>1.4255344949318072</v>
      </c>
      <c r="P12" s="29">
        <f>O12*A11*$P$6</f>
        <v>2.8795796797622506</v>
      </c>
      <c r="Q12" s="194" t="str">
        <f t="shared" si="9"/>
        <v>30%</v>
      </c>
      <c r="R12" s="195"/>
      <c r="S12" s="194" t="str">
        <f t="shared" si="10"/>
        <v>30%</v>
      </c>
      <c r="T12" s="195"/>
      <c r="U12" s="194" t="str">
        <f t="shared" si="11"/>
        <v>30%</v>
      </c>
      <c r="V12" s="195"/>
      <c r="W12" s="194" t="str">
        <f t="shared" si="12"/>
        <v>16%</v>
      </c>
      <c r="X12" s="195"/>
      <c r="Y12" s="194" t="str">
        <f t="shared" si="13"/>
        <v>30%</v>
      </c>
      <c r="Z12" s="195"/>
      <c r="AA12" s="194" t="str">
        <f t="shared" si="14"/>
        <v>30%</v>
      </c>
      <c r="AB12" s="195"/>
    </row>
    <row r="13" spans="1:41" ht="18" customHeight="1" x14ac:dyDescent="0.3">
      <c r="A13" s="207"/>
      <c r="B13" s="88">
        <v>8</v>
      </c>
      <c r="C13" s="14">
        <f>C11</f>
        <v>440</v>
      </c>
      <c r="D13" s="14">
        <f t="shared" si="15"/>
        <v>0.11</v>
      </c>
      <c r="E13" s="14">
        <f t="shared" si="0"/>
        <v>0.1</v>
      </c>
      <c r="F13" s="14">
        <f t="shared" si="1"/>
        <v>2.5532300000000001</v>
      </c>
      <c r="G13" s="14">
        <f t="shared" si="2"/>
        <v>-0.61512</v>
      </c>
      <c r="H13" s="14">
        <f t="shared" si="3"/>
        <v>-0.16403000000000001</v>
      </c>
      <c r="I13" s="2">
        <f t="shared" si="16"/>
        <v>2.9921567742787727</v>
      </c>
      <c r="J13" s="14">
        <f t="shared" si="4"/>
        <v>0.3</v>
      </c>
      <c r="K13" s="14">
        <f t="shared" si="5"/>
        <v>2.4653200000000002</v>
      </c>
      <c r="L13" s="14">
        <f t="shared" si="6"/>
        <v>-0.62256999999999996</v>
      </c>
      <c r="M13" s="14">
        <f t="shared" si="7"/>
        <v>-0.11656999999999999</v>
      </c>
      <c r="N13" s="2">
        <f t="shared" si="17"/>
        <v>2.955000720898219</v>
      </c>
      <c r="O13" s="14">
        <f t="shared" si="8"/>
        <v>1.470275680095259</v>
      </c>
      <c r="P13" s="29">
        <f>O13*A11*$P$6</f>
        <v>2.9699568737924231</v>
      </c>
      <c r="Q13" s="194" t="str">
        <f t="shared" si="9"/>
        <v>30%</v>
      </c>
      <c r="R13" s="195"/>
      <c r="S13" s="194" t="str">
        <f t="shared" si="10"/>
        <v>30%</v>
      </c>
      <c r="T13" s="195"/>
      <c r="U13" s="194" t="str">
        <f t="shared" si="11"/>
        <v>30%</v>
      </c>
      <c r="V13" s="195"/>
      <c r="W13" s="194" t="str">
        <f t="shared" si="12"/>
        <v>16%</v>
      </c>
      <c r="X13" s="195"/>
      <c r="Y13" s="194" t="str">
        <f t="shared" si="13"/>
        <v>30%</v>
      </c>
      <c r="Z13" s="195"/>
      <c r="AA13" s="194" t="str">
        <f t="shared" si="14"/>
        <v>30%</v>
      </c>
      <c r="AB13" s="195"/>
    </row>
    <row r="14" spans="1:41" ht="18" customHeight="1" thickBot="1" x14ac:dyDescent="0.35">
      <c r="A14" s="208"/>
      <c r="B14" s="89">
        <v>10</v>
      </c>
      <c r="C14" s="33">
        <f>C11</f>
        <v>440</v>
      </c>
      <c r="D14" s="33">
        <f t="shared" si="15"/>
        <v>9.9999999999999992E-2</v>
      </c>
      <c r="E14" s="33">
        <f t="shared" si="0"/>
        <v>0.1</v>
      </c>
      <c r="F14" s="33">
        <f t="shared" si="1"/>
        <v>2.5532300000000001</v>
      </c>
      <c r="G14" s="33">
        <f t="shared" si="2"/>
        <v>-0.61512</v>
      </c>
      <c r="H14" s="33">
        <f t="shared" si="3"/>
        <v>-0.16403000000000001</v>
      </c>
      <c r="I14" s="6">
        <f t="shared" si="16"/>
        <v>3.0043200000000003</v>
      </c>
      <c r="J14" s="33">
        <f t="shared" si="4"/>
        <v>0.3</v>
      </c>
      <c r="K14" s="33">
        <f t="shared" si="5"/>
        <v>2.4653200000000002</v>
      </c>
      <c r="L14" s="33">
        <f t="shared" si="6"/>
        <v>-0.62256999999999996</v>
      </c>
      <c r="M14" s="33">
        <f t="shared" si="7"/>
        <v>-0.11656999999999999</v>
      </c>
      <c r="N14" s="6">
        <f t="shared" si="17"/>
        <v>2.9713200000000004</v>
      </c>
      <c r="O14" s="33">
        <f t="shared" si="8"/>
        <v>1.5192877145768793</v>
      </c>
      <c r="P14" s="34">
        <f>O14*A11*$P$6</f>
        <v>3.0689611834452961</v>
      </c>
      <c r="Q14" s="198" t="str">
        <f t="shared" si="9"/>
        <v>16%</v>
      </c>
      <c r="R14" s="199"/>
      <c r="S14" s="198" t="str">
        <f t="shared" si="10"/>
        <v>30%</v>
      </c>
      <c r="T14" s="199"/>
      <c r="U14" s="198" t="str">
        <f t="shared" si="11"/>
        <v>30%</v>
      </c>
      <c r="V14" s="199"/>
      <c r="W14" s="198" t="str">
        <f t="shared" si="12"/>
        <v>8%</v>
      </c>
      <c r="X14" s="199"/>
      <c r="Y14" s="198" t="str">
        <f t="shared" si="13"/>
        <v>16%</v>
      </c>
      <c r="Z14" s="199"/>
      <c r="AA14" s="198" t="str">
        <f t="shared" si="14"/>
        <v>26%</v>
      </c>
      <c r="AB14" s="199"/>
    </row>
    <row r="15" spans="1:41" ht="18" customHeight="1" x14ac:dyDescent="0.3">
      <c r="A15" s="206">
        <v>5</v>
      </c>
      <c r="B15" s="90">
        <v>4</v>
      </c>
      <c r="C15" s="35">
        <f>ROUND(1.5*SQRT(A15*43560)/10,0)*10</f>
        <v>700</v>
      </c>
      <c r="D15" s="35">
        <f t="shared" si="15"/>
        <v>0.22</v>
      </c>
      <c r="E15" s="35">
        <f t="shared" si="0"/>
        <v>0.1</v>
      </c>
      <c r="F15" s="35">
        <f t="shared" si="1"/>
        <v>2.5532300000000001</v>
      </c>
      <c r="G15" s="35">
        <f t="shared" si="2"/>
        <v>-0.61512</v>
      </c>
      <c r="H15" s="35">
        <f t="shared" si="3"/>
        <v>-0.16403000000000001</v>
      </c>
      <c r="I15" s="36">
        <f t="shared" si="16"/>
        <v>2.8867910877004066</v>
      </c>
      <c r="J15" s="35">
        <f t="shared" si="4"/>
        <v>0.3</v>
      </c>
      <c r="K15" s="35">
        <f t="shared" si="5"/>
        <v>2.4653200000000002</v>
      </c>
      <c r="L15" s="35">
        <f t="shared" si="6"/>
        <v>-0.62256999999999996</v>
      </c>
      <c r="M15" s="35">
        <f t="shared" si="7"/>
        <v>-0.11656999999999999</v>
      </c>
      <c r="N15" s="36">
        <f t="shared" si="17"/>
        <v>2.8243021191191637</v>
      </c>
      <c r="O15" s="35">
        <f t="shared" si="8"/>
        <v>1.1203833068406528</v>
      </c>
      <c r="P15" s="37">
        <f>O15*A15*$P$6</f>
        <v>5.6579356995452965</v>
      </c>
      <c r="Q15" s="196" t="str">
        <f t="shared" si="9"/>
        <v>6.5%</v>
      </c>
      <c r="R15" s="197"/>
      <c r="S15" s="196" t="str">
        <f t="shared" si="10"/>
        <v>13%</v>
      </c>
      <c r="T15" s="197"/>
      <c r="U15" s="196" t="str">
        <f t="shared" si="11"/>
        <v>22%</v>
      </c>
      <c r="V15" s="197"/>
      <c r="W15" s="196" t="str">
        <f t="shared" si="12"/>
        <v>3.4%</v>
      </c>
      <c r="X15" s="197"/>
      <c r="Y15" s="196" t="str">
        <f t="shared" si="13"/>
        <v>6%</v>
      </c>
      <c r="Z15" s="197"/>
      <c r="AA15" s="196" t="str">
        <f t="shared" si="14"/>
        <v>10%</v>
      </c>
      <c r="AB15" s="197"/>
    </row>
    <row r="16" spans="1:41" ht="18" customHeight="1" x14ac:dyDescent="0.3">
      <c r="A16" s="207"/>
      <c r="B16" s="91">
        <v>6</v>
      </c>
      <c r="C16" s="14">
        <f>C15</f>
        <v>700</v>
      </c>
      <c r="D16" s="14">
        <f t="shared" si="15"/>
        <v>0.18000000000000002</v>
      </c>
      <c r="E16" s="14">
        <f t="shared" si="0"/>
        <v>0.1</v>
      </c>
      <c r="F16" s="14">
        <f t="shared" si="1"/>
        <v>2.5532300000000001</v>
      </c>
      <c r="G16" s="14">
        <f t="shared" si="2"/>
        <v>-0.61512</v>
      </c>
      <c r="H16" s="14">
        <f t="shared" si="3"/>
        <v>-0.16403000000000001</v>
      </c>
      <c r="I16" s="2">
        <f t="shared" si="16"/>
        <v>2.9203526152581674</v>
      </c>
      <c r="J16" s="14">
        <f t="shared" si="4"/>
        <v>0.3</v>
      </c>
      <c r="K16" s="14">
        <f t="shared" si="5"/>
        <v>2.4653200000000002</v>
      </c>
      <c r="L16" s="14">
        <f t="shared" si="6"/>
        <v>-0.62256999999999996</v>
      </c>
      <c r="M16" s="14">
        <f t="shared" si="7"/>
        <v>-0.11656999999999999</v>
      </c>
      <c r="N16" s="2">
        <f t="shared" si="17"/>
        <v>2.8643130548120994</v>
      </c>
      <c r="O16" s="14">
        <f t="shared" si="8"/>
        <v>1.219418729010626</v>
      </c>
      <c r="P16" s="29">
        <f>O16*A15*$P$6</f>
        <v>6.1580645815036616</v>
      </c>
      <c r="Q16" s="194" t="str">
        <f t="shared" si="9"/>
        <v>5%</v>
      </c>
      <c r="R16" s="195"/>
      <c r="S16" s="194" t="str">
        <f t="shared" si="10"/>
        <v>10%</v>
      </c>
      <c r="T16" s="195"/>
      <c r="U16" s="194" t="str">
        <f t="shared" si="11"/>
        <v>16%</v>
      </c>
      <c r="V16" s="195"/>
      <c r="W16" s="194" t="str">
        <f t="shared" si="12"/>
        <v>2.5%</v>
      </c>
      <c r="X16" s="195"/>
      <c r="Y16" s="194" t="str">
        <f t="shared" si="13"/>
        <v>5%</v>
      </c>
      <c r="Z16" s="195"/>
      <c r="AA16" s="194" t="str">
        <f t="shared" si="14"/>
        <v>8%</v>
      </c>
      <c r="AB16" s="195"/>
    </row>
    <row r="17" spans="1:28" ht="18" customHeight="1" x14ac:dyDescent="0.3">
      <c r="A17" s="207"/>
      <c r="B17" s="91">
        <v>8</v>
      </c>
      <c r="C17" s="14">
        <f>C15</f>
        <v>700</v>
      </c>
      <c r="D17" s="14">
        <f t="shared" si="15"/>
        <v>0.15000000000000002</v>
      </c>
      <c r="E17" s="14">
        <f t="shared" si="0"/>
        <v>0.1</v>
      </c>
      <c r="F17" s="14">
        <f t="shared" si="1"/>
        <v>2.5532300000000001</v>
      </c>
      <c r="G17" s="14">
        <f t="shared" si="2"/>
        <v>-0.61512</v>
      </c>
      <c r="H17" s="14">
        <f t="shared" si="3"/>
        <v>-0.16403000000000001</v>
      </c>
      <c r="I17" s="2">
        <f t="shared" si="16"/>
        <v>2.9486849793629371</v>
      </c>
      <c r="J17" s="14">
        <f t="shared" si="4"/>
        <v>0.3</v>
      </c>
      <c r="K17" s="14">
        <f t="shared" si="5"/>
        <v>2.4653200000000002</v>
      </c>
      <c r="L17" s="14">
        <f t="shared" si="6"/>
        <v>-0.62256999999999996</v>
      </c>
      <c r="M17" s="14">
        <f t="shared" si="7"/>
        <v>-0.11656999999999999</v>
      </c>
      <c r="N17" s="2">
        <f t="shared" si="17"/>
        <v>2.8991301630951476</v>
      </c>
      <c r="O17" s="14">
        <f t="shared" si="8"/>
        <v>1.311377105258446</v>
      </c>
      <c r="P17" s="29">
        <f>O17*A15*$P$6</f>
        <v>6.6224543815551522</v>
      </c>
      <c r="Q17" s="194" t="str">
        <f t="shared" si="9"/>
        <v>5%</v>
      </c>
      <c r="R17" s="195"/>
      <c r="S17" s="194" t="str">
        <f t="shared" si="10"/>
        <v>10%</v>
      </c>
      <c r="T17" s="195"/>
      <c r="U17" s="194" t="str">
        <f t="shared" si="11"/>
        <v>16%</v>
      </c>
      <c r="V17" s="195"/>
      <c r="W17" s="194" t="str">
        <f t="shared" si="12"/>
        <v>2.5%</v>
      </c>
      <c r="X17" s="195"/>
      <c r="Y17" s="194" t="str">
        <f t="shared" si="13"/>
        <v>5%</v>
      </c>
      <c r="Z17" s="195"/>
      <c r="AA17" s="194" t="str">
        <f t="shared" si="14"/>
        <v>8%</v>
      </c>
      <c r="AB17" s="195"/>
    </row>
    <row r="18" spans="1:28" ht="18" customHeight="1" thickBot="1" x14ac:dyDescent="0.35">
      <c r="A18" s="208"/>
      <c r="B18" s="92">
        <v>10</v>
      </c>
      <c r="C18" s="33">
        <f>C15</f>
        <v>700</v>
      </c>
      <c r="D18" s="33">
        <f t="shared" si="15"/>
        <v>0.14000000000000001</v>
      </c>
      <c r="E18" s="33">
        <f t="shared" si="0"/>
        <v>0.1</v>
      </c>
      <c r="F18" s="33">
        <f t="shared" si="1"/>
        <v>2.5532300000000001</v>
      </c>
      <c r="G18" s="33">
        <f t="shared" si="2"/>
        <v>-0.61512</v>
      </c>
      <c r="H18" s="33">
        <f t="shared" si="3"/>
        <v>-0.16403000000000001</v>
      </c>
      <c r="I18" s="6">
        <f t="shared" si="16"/>
        <v>2.9588698874150872</v>
      </c>
      <c r="J18" s="33">
        <f t="shared" si="4"/>
        <v>0.3</v>
      </c>
      <c r="K18" s="33">
        <f t="shared" si="5"/>
        <v>2.4653200000000002</v>
      </c>
      <c r="L18" s="33">
        <f t="shared" si="6"/>
        <v>-0.62256999999999996</v>
      </c>
      <c r="M18" s="33">
        <f t="shared" si="7"/>
        <v>-0.11656999999999999</v>
      </c>
      <c r="N18" s="6">
        <f t="shared" si="17"/>
        <v>2.9119241929001247</v>
      </c>
      <c r="O18" s="33">
        <f t="shared" si="8"/>
        <v>1.3465332011439939</v>
      </c>
      <c r="P18" s="34">
        <f>O18*A15*$P$6</f>
        <v>6.799992665777169</v>
      </c>
      <c r="Q18" s="198" t="str">
        <f t="shared" si="9"/>
        <v>5%</v>
      </c>
      <c r="R18" s="199"/>
      <c r="S18" s="198" t="str">
        <f t="shared" si="10"/>
        <v>10%</v>
      </c>
      <c r="T18" s="199"/>
      <c r="U18" s="198" t="str">
        <f t="shared" si="11"/>
        <v>16%</v>
      </c>
      <c r="V18" s="199"/>
      <c r="W18" s="198" t="str">
        <f t="shared" si="12"/>
        <v>2.5%</v>
      </c>
      <c r="X18" s="199"/>
      <c r="Y18" s="198" t="str">
        <f t="shared" si="13"/>
        <v>5%</v>
      </c>
      <c r="Z18" s="199"/>
      <c r="AA18" s="198" t="str">
        <f t="shared" si="14"/>
        <v>8%</v>
      </c>
      <c r="AB18" s="199"/>
    </row>
    <row r="19" spans="1:28" ht="18" customHeight="1" x14ac:dyDescent="0.3">
      <c r="A19" s="206">
        <v>10</v>
      </c>
      <c r="B19" s="90">
        <v>4</v>
      </c>
      <c r="C19" s="35">
        <f>ROUND(1.5*SQRT(A19*43560)/10,0)*10</f>
        <v>990</v>
      </c>
      <c r="D19" s="35">
        <f t="shared" si="15"/>
        <v>0.28000000000000003</v>
      </c>
      <c r="E19" s="35">
        <f t="shared" si="0"/>
        <v>0.1</v>
      </c>
      <c r="F19" s="35">
        <f t="shared" si="1"/>
        <v>2.5532300000000001</v>
      </c>
      <c r="G19" s="35">
        <f t="shared" si="2"/>
        <v>-0.61512</v>
      </c>
      <c r="H19" s="35">
        <f t="shared" si="3"/>
        <v>-0.16403000000000001</v>
      </c>
      <c r="I19" s="36">
        <f t="shared" si="16"/>
        <v>2.8431609669947617</v>
      </c>
      <c r="J19" s="35">
        <f t="shared" si="4"/>
        <v>0.3</v>
      </c>
      <c r="K19" s="35">
        <f t="shared" si="5"/>
        <v>2.4653200000000002</v>
      </c>
      <c r="L19" s="35">
        <f t="shared" si="6"/>
        <v>-0.62256999999999996</v>
      </c>
      <c r="M19" s="35">
        <f t="shared" si="7"/>
        <v>-0.11656999999999999</v>
      </c>
      <c r="N19" s="36">
        <f t="shared" si="17"/>
        <v>2.7738750408012667</v>
      </c>
      <c r="O19" s="35">
        <f t="shared" si="8"/>
        <v>1.0053980299718108</v>
      </c>
      <c r="P19" s="37">
        <f>O19*A19*$P$6</f>
        <v>10.15452010271529</v>
      </c>
      <c r="Q19" s="196" t="str">
        <f t="shared" si="9"/>
        <v>2%</v>
      </c>
      <c r="R19" s="197"/>
      <c r="S19" s="196" t="str">
        <f t="shared" si="10"/>
        <v>4%</v>
      </c>
      <c r="T19" s="197"/>
      <c r="U19" s="196" t="str">
        <f t="shared" si="11"/>
        <v>6.5%</v>
      </c>
      <c r="V19" s="197"/>
      <c r="W19" s="196" t="str">
        <f t="shared" si="12"/>
        <v>1.1%</v>
      </c>
      <c r="X19" s="197"/>
      <c r="Y19" s="196" t="str">
        <f t="shared" si="13"/>
        <v>2%</v>
      </c>
      <c r="Z19" s="197"/>
      <c r="AA19" s="196" t="str">
        <f t="shared" si="14"/>
        <v>3.4%</v>
      </c>
      <c r="AB19" s="197"/>
    </row>
    <row r="20" spans="1:28" ht="18" customHeight="1" x14ac:dyDescent="0.3">
      <c r="A20" s="207"/>
      <c r="B20" s="91">
        <v>6</v>
      </c>
      <c r="C20" s="14">
        <f>C19</f>
        <v>990</v>
      </c>
      <c r="D20" s="14">
        <f t="shared" si="15"/>
        <v>0.23</v>
      </c>
      <c r="E20" s="14">
        <f t="shared" si="0"/>
        <v>0.1</v>
      </c>
      <c r="F20" s="14">
        <f t="shared" si="1"/>
        <v>2.5532300000000001</v>
      </c>
      <c r="G20" s="14">
        <f t="shared" si="2"/>
        <v>-0.61512</v>
      </c>
      <c r="H20" s="14">
        <f t="shared" si="3"/>
        <v>-0.16403000000000001</v>
      </c>
      <c r="I20" s="2">
        <f t="shared" si="16"/>
        <v>2.8790195694965743</v>
      </c>
      <c r="J20" s="14">
        <f t="shared" si="4"/>
        <v>0.3</v>
      </c>
      <c r="K20" s="14">
        <f t="shared" si="5"/>
        <v>2.4653200000000002</v>
      </c>
      <c r="L20" s="14">
        <f t="shared" si="6"/>
        <v>-0.62256999999999996</v>
      </c>
      <c r="M20" s="14">
        <f t="shared" si="7"/>
        <v>-0.11656999999999999</v>
      </c>
      <c r="N20" s="2">
        <f t="shared" si="17"/>
        <v>2.8151994908414832</v>
      </c>
      <c r="O20" s="14">
        <f t="shared" si="8"/>
        <v>1.0988275919789576</v>
      </c>
      <c r="P20" s="29">
        <f>O20*A19*$P$6</f>
        <v>11.098158678987472</v>
      </c>
      <c r="Q20" s="194" t="str">
        <f t="shared" si="9"/>
        <v>2%</v>
      </c>
      <c r="R20" s="195"/>
      <c r="S20" s="194" t="str">
        <f t="shared" si="10"/>
        <v>3.5%</v>
      </c>
      <c r="T20" s="195"/>
      <c r="U20" s="194" t="str">
        <f t="shared" si="11"/>
        <v>5.5%</v>
      </c>
      <c r="V20" s="195"/>
      <c r="W20" s="194" t="str">
        <f t="shared" si="12"/>
        <v>0.9%</v>
      </c>
      <c r="X20" s="195"/>
      <c r="Y20" s="194" t="str">
        <f t="shared" si="13"/>
        <v>1.8%</v>
      </c>
      <c r="Z20" s="195"/>
      <c r="AA20" s="194" t="str">
        <f t="shared" si="14"/>
        <v>2.8%</v>
      </c>
      <c r="AB20" s="195"/>
    </row>
    <row r="21" spans="1:28" ht="18" customHeight="1" x14ac:dyDescent="0.3">
      <c r="A21" s="207"/>
      <c r="B21" s="91">
        <v>8</v>
      </c>
      <c r="C21" s="14">
        <f>C19</f>
        <v>990</v>
      </c>
      <c r="D21" s="14">
        <f t="shared" si="15"/>
        <v>0.2</v>
      </c>
      <c r="E21" s="14">
        <f t="shared" si="0"/>
        <v>0.1</v>
      </c>
      <c r="F21" s="14">
        <f t="shared" si="1"/>
        <v>2.5532300000000001</v>
      </c>
      <c r="G21" s="14">
        <f t="shared" si="2"/>
        <v>-0.61512</v>
      </c>
      <c r="H21" s="14">
        <f t="shared" si="3"/>
        <v>-0.16403000000000001</v>
      </c>
      <c r="I21" s="2">
        <f t="shared" si="16"/>
        <v>2.9030420853134782</v>
      </c>
      <c r="J21" s="14">
        <f t="shared" si="4"/>
        <v>0.3</v>
      </c>
      <c r="K21" s="14">
        <f t="shared" si="5"/>
        <v>2.4653200000000002</v>
      </c>
      <c r="L21" s="14">
        <f t="shared" si="6"/>
        <v>-0.62256999999999996</v>
      </c>
      <c r="M21" s="14">
        <f t="shared" si="7"/>
        <v>-0.11656999999999999</v>
      </c>
      <c r="N21" s="2">
        <f t="shared" si="17"/>
        <v>2.8435264251637742</v>
      </c>
      <c r="O21" s="14">
        <f t="shared" si="8"/>
        <v>1.1670898208982183</v>
      </c>
      <c r="P21" s="29">
        <f>O21*A19*$P$6</f>
        <v>11.787607191072006</v>
      </c>
      <c r="Q21" s="194" t="str">
        <f t="shared" si="9"/>
        <v>2%</v>
      </c>
      <c r="R21" s="195"/>
      <c r="S21" s="194" t="str">
        <f t="shared" si="10"/>
        <v>3.5%</v>
      </c>
      <c r="T21" s="195"/>
      <c r="U21" s="194" t="str">
        <f t="shared" si="11"/>
        <v>5.5%</v>
      </c>
      <c r="V21" s="195"/>
      <c r="W21" s="194" t="str">
        <f t="shared" si="12"/>
        <v>0.9%</v>
      </c>
      <c r="X21" s="195"/>
      <c r="Y21" s="194" t="str">
        <f t="shared" si="13"/>
        <v>1.8%</v>
      </c>
      <c r="Z21" s="195"/>
      <c r="AA21" s="194" t="str">
        <f t="shared" si="14"/>
        <v>2.8%</v>
      </c>
      <c r="AB21" s="195"/>
    </row>
    <row r="22" spans="1:28" ht="18" customHeight="1" thickBot="1" x14ac:dyDescent="0.35">
      <c r="A22" s="208"/>
      <c r="B22" s="92">
        <v>10</v>
      </c>
      <c r="C22" s="33">
        <f>C19</f>
        <v>990</v>
      </c>
      <c r="D22" s="33">
        <f t="shared" si="15"/>
        <v>0.18000000000000002</v>
      </c>
      <c r="E22" s="33">
        <f t="shared" si="0"/>
        <v>0.1</v>
      </c>
      <c r="F22" s="33">
        <f t="shared" si="1"/>
        <v>2.5532300000000001</v>
      </c>
      <c r="G22" s="33">
        <f t="shared" si="2"/>
        <v>-0.61512</v>
      </c>
      <c r="H22" s="33">
        <f t="shared" si="3"/>
        <v>-0.16403000000000001</v>
      </c>
      <c r="I22" s="6">
        <f t="shared" si="16"/>
        <v>2.9203526152581674</v>
      </c>
      <c r="J22" s="33">
        <f t="shared" si="4"/>
        <v>0.3</v>
      </c>
      <c r="K22" s="33">
        <f t="shared" si="5"/>
        <v>2.4653200000000002</v>
      </c>
      <c r="L22" s="33">
        <f t="shared" si="6"/>
        <v>-0.62256999999999996</v>
      </c>
      <c r="M22" s="33">
        <f t="shared" si="7"/>
        <v>-0.11656999999999999</v>
      </c>
      <c r="N22" s="6">
        <f t="shared" si="17"/>
        <v>2.8643130548120994</v>
      </c>
      <c r="O22" s="33">
        <f t="shared" si="8"/>
        <v>1.219418729010626</v>
      </c>
      <c r="P22" s="34">
        <f>O22*A19*$P$6</f>
        <v>12.316129163007323</v>
      </c>
      <c r="Q22" s="198" t="str">
        <f t="shared" si="9"/>
        <v>1.7%</v>
      </c>
      <c r="R22" s="199"/>
      <c r="S22" s="198" t="str">
        <f t="shared" si="10"/>
        <v>3%</v>
      </c>
      <c r="T22" s="199"/>
      <c r="U22" s="198" t="str">
        <f t="shared" si="11"/>
        <v>5%</v>
      </c>
      <c r="V22" s="199"/>
      <c r="W22" s="198" t="str">
        <f t="shared" si="12"/>
        <v>0.8%</v>
      </c>
      <c r="X22" s="199"/>
      <c r="Y22" s="198" t="str">
        <f t="shared" si="13"/>
        <v>1.5%</v>
      </c>
      <c r="Z22" s="199"/>
      <c r="AA22" s="198" t="str">
        <f t="shared" si="14"/>
        <v>2.5%</v>
      </c>
      <c r="AB22" s="199"/>
    </row>
    <row r="23" spans="1:28" ht="18" customHeight="1" x14ac:dyDescent="0.3">
      <c r="A23" s="206">
        <v>15</v>
      </c>
      <c r="B23" s="90">
        <v>4</v>
      </c>
      <c r="C23" s="35">
        <f>ROUND(1.5*SQRT(A23*43560)/10,0)*10</f>
        <v>1210</v>
      </c>
      <c r="D23" s="35">
        <f t="shared" si="15"/>
        <v>0.33</v>
      </c>
      <c r="E23" s="35">
        <f t="shared" si="0"/>
        <v>0.1</v>
      </c>
      <c r="F23" s="35">
        <f t="shared" si="1"/>
        <v>2.5532300000000001</v>
      </c>
      <c r="G23" s="35">
        <f t="shared" si="2"/>
        <v>-0.61512</v>
      </c>
      <c r="H23" s="35">
        <f t="shared" si="3"/>
        <v>-0.16403000000000001</v>
      </c>
      <c r="I23" s="36">
        <f t="shared" si="16"/>
        <v>2.8113748229584572</v>
      </c>
      <c r="J23" s="35">
        <f t="shared" si="4"/>
        <v>0.3</v>
      </c>
      <c r="K23" s="35">
        <f t="shared" si="5"/>
        <v>2.4653200000000002</v>
      </c>
      <c r="L23" s="35">
        <f t="shared" si="6"/>
        <v>-0.62256999999999996</v>
      </c>
      <c r="M23" s="35">
        <f t="shared" si="7"/>
        <v>-0.11656999999999999</v>
      </c>
      <c r="N23" s="36">
        <f t="shared" si="17"/>
        <v>2.7380544901926891</v>
      </c>
      <c r="O23" s="35">
        <f t="shared" si="8"/>
        <v>0.930110790081075</v>
      </c>
      <c r="P23" s="37">
        <f>O23*A23*$P$6</f>
        <v>14.091178469728286</v>
      </c>
      <c r="Q23" s="196" t="str">
        <f t="shared" si="9"/>
        <v>1.4%</v>
      </c>
      <c r="R23" s="197"/>
      <c r="S23" s="196" t="str">
        <f t="shared" si="10"/>
        <v>2.5%</v>
      </c>
      <c r="T23" s="197"/>
      <c r="U23" s="196" t="str">
        <f t="shared" si="11"/>
        <v>4%</v>
      </c>
      <c r="V23" s="197"/>
      <c r="W23" s="196" t="str">
        <f t="shared" si="12"/>
        <v>0.6%</v>
      </c>
      <c r="X23" s="197"/>
      <c r="Y23" s="196" t="str">
        <f t="shared" si="13"/>
        <v>1.2%</v>
      </c>
      <c r="Z23" s="197"/>
      <c r="AA23" s="196" t="str">
        <f t="shared" si="14"/>
        <v>1.8%</v>
      </c>
      <c r="AB23" s="197"/>
    </row>
    <row r="24" spans="1:28" ht="18" customHeight="1" x14ac:dyDescent="0.3">
      <c r="A24" s="207"/>
      <c r="B24" s="91">
        <v>6</v>
      </c>
      <c r="C24" s="14">
        <f>C23</f>
        <v>1210</v>
      </c>
      <c r="D24" s="14">
        <f t="shared" si="15"/>
        <v>0.27</v>
      </c>
      <c r="E24" s="14">
        <f t="shared" si="0"/>
        <v>0.1</v>
      </c>
      <c r="F24" s="14">
        <f t="shared" si="1"/>
        <v>2.5532300000000001</v>
      </c>
      <c r="G24" s="14">
        <f t="shared" si="2"/>
        <v>-0.61512</v>
      </c>
      <c r="H24" s="14">
        <f t="shared" si="3"/>
        <v>-0.16403000000000001</v>
      </c>
      <c r="I24" s="2">
        <f t="shared" si="16"/>
        <v>2.8499708853067869</v>
      </c>
      <c r="J24" s="14">
        <f t="shared" si="4"/>
        <v>0.3</v>
      </c>
      <c r="K24" s="14">
        <f t="shared" si="5"/>
        <v>2.4653200000000002</v>
      </c>
      <c r="L24" s="14">
        <f t="shared" si="6"/>
        <v>-0.62256999999999996</v>
      </c>
      <c r="M24" s="14">
        <f t="shared" si="7"/>
        <v>-0.11656999999999999</v>
      </c>
      <c r="N24" s="2">
        <f t="shared" si="17"/>
        <v>2.781643281890847</v>
      </c>
      <c r="O24" s="14">
        <f t="shared" si="8"/>
        <v>1.0224147578849432</v>
      </c>
      <c r="P24" s="29">
        <f>O24*A23*$P$6</f>
        <v>15.489583581956889</v>
      </c>
      <c r="Q24" s="194" t="str">
        <f t="shared" si="9"/>
        <v>1.2%</v>
      </c>
      <c r="R24" s="195"/>
      <c r="S24" s="194" t="str">
        <f t="shared" si="10"/>
        <v>2.2%</v>
      </c>
      <c r="T24" s="195"/>
      <c r="U24" s="194" t="str">
        <f t="shared" si="11"/>
        <v>3.5%</v>
      </c>
      <c r="V24" s="195"/>
      <c r="W24" s="194" t="str">
        <f t="shared" si="12"/>
        <v>0.5%</v>
      </c>
      <c r="X24" s="195"/>
      <c r="Y24" s="194" t="str">
        <f t="shared" si="13"/>
        <v>1.1%</v>
      </c>
      <c r="Z24" s="195"/>
      <c r="AA24" s="194" t="str">
        <f t="shared" si="14"/>
        <v>1.6%</v>
      </c>
      <c r="AB24" s="195"/>
    </row>
    <row r="25" spans="1:28" ht="18" customHeight="1" x14ac:dyDescent="0.3">
      <c r="A25" s="207"/>
      <c r="B25" s="91">
        <v>8</v>
      </c>
      <c r="C25" s="14">
        <f>C23</f>
        <v>1210</v>
      </c>
      <c r="D25" s="14">
        <f t="shared" si="15"/>
        <v>0.24000000000000002</v>
      </c>
      <c r="E25" s="14">
        <f t="shared" si="0"/>
        <v>0.1</v>
      </c>
      <c r="F25" s="14">
        <f t="shared" si="1"/>
        <v>2.5532300000000001</v>
      </c>
      <c r="G25" s="14">
        <f t="shared" si="2"/>
        <v>-0.61512</v>
      </c>
      <c r="H25" s="14">
        <f t="shared" si="3"/>
        <v>-0.16403000000000001</v>
      </c>
      <c r="I25" s="2">
        <f t="shared" si="16"/>
        <v>2.8714642876515004</v>
      </c>
      <c r="J25" s="14">
        <f t="shared" si="4"/>
        <v>0.3</v>
      </c>
      <c r="K25" s="14">
        <f t="shared" si="5"/>
        <v>2.4653200000000002</v>
      </c>
      <c r="L25" s="14">
        <f t="shared" si="6"/>
        <v>-0.62256999999999996</v>
      </c>
      <c r="M25" s="14">
        <f t="shared" si="7"/>
        <v>-0.11656999999999999</v>
      </c>
      <c r="N25" s="2">
        <f t="shared" si="17"/>
        <v>2.8064029083593347</v>
      </c>
      <c r="O25" s="14">
        <f t="shared" si="8"/>
        <v>1.0783348075548471</v>
      </c>
      <c r="P25" s="29">
        <f>O25*A23*$P$6</f>
        <v>16.336772334455937</v>
      </c>
      <c r="Q25" s="194" t="str">
        <f t="shared" si="9"/>
        <v>1.1%</v>
      </c>
      <c r="R25" s="195"/>
      <c r="S25" s="194" t="str">
        <f t="shared" si="10"/>
        <v>2%</v>
      </c>
      <c r="T25" s="195"/>
      <c r="U25" s="194" t="str">
        <f t="shared" si="11"/>
        <v>3%</v>
      </c>
      <c r="V25" s="195"/>
      <c r="W25" s="194" t="str">
        <f t="shared" si="12"/>
        <v>0.5%</v>
      </c>
      <c r="X25" s="195"/>
      <c r="Y25" s="194" t="str">
        <f t="shared" si="13"/>
        <v>1%</v>
      </c>
      <c r="Z25" s="195"/>
      <c r="AA25" s="194" t="str">
        <f t="shared" si="14"/>
        <v>1.5%</v>
      </c>
      <c r="AB25" s="195"/>
    </row>
    <row r="26" spans="1:28" ht="18" customHeight="1" thickBot="1" x14ac:dyDescent="0.35">
      <c r="A26" s="208"/>
      <c r="B26" s="92">
        <v>10</v>
      </c>
      <c r="C26" s="33">
        <f>C23</f>
        <v>1210</v>
      </c>
      <c r="D26" s="33">
        <f t="shared" si="15"/>
        <v>0.21000000000000002</v>
      </c>
      <c r="E26" s="33">
        <f t="shared" si="0"/>
        <v>0.1</v>
      </c>
      <c r="F26" s="33">
        <f t="shared" si="1"/>
        <v>2.5532300000000001</v>
      </c>
      <c r="G26" s="33">
        <f t="shared" si="2"/>
        <v>-0.61512</v>
      </c>
      <c r="H26" s="33">
        <f t="shared" si="3"/>
        <v>-0.16403000000000001</v>
      </c>
      <c r="I26" s="6">
        <f t="shared" si="16"/>
        <v>2.8947932695760574</v>
      </c>
      <c r="J26" s="33">
        <f t="shared" si="4"/>
        <v>0.3</v>
      </c>
      <c r="K26" s="33">
        <f t="shared" si="5"/>
        <v>2.4653200000000002</v>
      </c>
      <c r="L26" s="33">
        <f t="shared" si="6"/>
        <v>-0.62256999999999996</v>
      </c>
      <c r="M26" s="33">
        <f t="shared" si="7"/>
        <v>-0.11656999999999999</v>
      </c>
      <c r="N26" s="6">
        <f t="shared" si="17"/>
        <v>2.8337352278733841</v>
      </c>
      <c r="O26" s="33">
        <f t="shared" si="8"/>
        <v>1.1431001315776979</v>
      </c>
      <c r="P26" s="34">
        <f>O26*A23*$P$6</f>
        <v>17.317966993402123</v>
      </c>
      <c r="Q26" s="198" t="str">
        <f t="shared" si="9"/>
        <v>1%</v>
      </c>
      <c r="R26" s="199"/>
      <c r="S26" s="198" t="str">
        <f t="shared" si="10"/>
        <v>1.8%</v>
      </c>
      <c r="T26" s="199"/>
      <c r="U26" s="198" t="str">
        <f t="shared" si="11"/>
        <v>2.8%</v>
      </c>
      <c r="V26" s="199"/>
      <c r="W26" s="198" t="str">
        <f t="shared" si="12"/>
        <v>0.5%</v>
      </c>
      <c r="X26" s="199"/>
      <c r="Y26" s="198" t="str">
        <f t="shared" si="13"/>
        <v>0.9%</v>
      </c>
      <c r="Z26" s="199"/>
      <c r="AA26" s="198" t="str">
        <f t="shared" si="14"/>
        <v>1.4%</v>
      </c>
      <c r="AB26" s="199"/>
    </row>
    <row r="27" spans="1:28" ht="18" customHeight="1" x14ac:dyDescent="0.3">
      <c r="A27" s="206">
        <v>20</v>
      </c>
      <c r="B27" s="90">
        <v>4</v>
      </c>
      <c r="C27" s="35">
        <f>ROUND(1.5*SQRT(A27*43560)/10,0)*10</f>
        <v>1400</v>
      </c>
      <c r="D27" s="35">
        <f t="shared" si="15"/>
        <v>0.37</v>
      </c>
      <c r="E27" s="35">
        <f t="shared" si="0"/>
        <v>0.1</v>
      </c>
      <c r="F27" s="35">
        <f t="shared" si="1"/>
        <v>2.5532300000000001</v>
      </c>
      <c r="G27" s="35">
        <f t="shared" si="2"/>
        <v>-0.61512</v>
      </c>
      <c r="H27" s="35">
        <f t="shared" si="3"/>
        <v>-0.16403000000000001</v>
      </c>
      <c r="I27" s="36">
        <f t="shared" si="16"/>
        <v>2.788254402819188</v>
      </c>
      <c r="J27" s="35">
        <f t="shared" si="4"/>
        <v>0.3</v>
      </c>
      <c r="K27" s="35">
        <f t="shared" si="5"/>
        <v>2.4653200000000002</v>
      </c>
      <c r="L27" s="35">
        <f t="shared" si="6"/>
        <v>-0.62256999999999996</v>
      </c>
      <c r="M27" s="35">
        <f t="shared" si="7"/>
        <v>-0.11656999999999999</v>
      </c>
      <c r="N27" s="36">
        <f t="shared" si="17"/>
        <v>2.7124102051620338</v>
      </c>
      <c r="O27" s="35">
        <f t="shared" si="8"/>
        <v>0.87933089052060398</v>
      </c>
      <c r="P27" s="37">
        <f>O27*A27*$P$6</f>
        <v>17.762483988516202</v>
      </c>
      <c r="Q27" s="196" t="str">
        <f t="shared" si="9"/>
        <v>1%</v>
      </c>
      <c r="R27" s="197"/>
      <c r="S27" s="196" t="str">
        <f t="shared" si="10"/>
        <v>1.8%</v>
      </c>
      <c r="T27" s="197"/>
      <c r="U27" s="196" t="str">
        <f t="shared" si="11"/>
        <v>2.8%</v>
      </c>
      <c r="V27" s="197"/>
      <c r="W27" s="196" t="str">
        <f t="shared" si="12"/>
        <v>0.5%</v>
      </c>
      <c r="X27" s="197"/>
      <c r="Y27" s="196" t="str">
        <f t="shared" si="13"/>
        <v>0.9%</v>
      </c>
      <c r="Z27" s="197"/>
      <c r="AA27" s="196" t="str">
        <f t="shared" si="14"/>
        <v>1.4%</v>
      </c>
      <c r="AB27" s="197"/>
    </row>
    <row r="28" spans="1:28" ht="18" customHeight="1" x14ac:dyDescent="0.3">
      <c r="A28" s="207"/>
      <c r="B28" s="91">
        <v>6</v>
      </c>
      <c r="C28" s="14">
        <f>C27</f>
        <v>1400</v>
      </c>
      <c r="D28" s="14">
        <f t="shared" si="15"/>
        <v>0.31</v>
      </c>
      <c r="E28" s="14">
        <f t="shared" si="0"/>
        <v>0.1</v>
      </c>
      <c r="F28" s="14">
        <f t="shared" si="1"/>
        <v>2.5532300000000001</v>
      </c>
      <c r="G28" s="14">
        <f t="shared" si="2"/>
        <v>-0.61512</v>
      </c>
      <c r="H28" s="14">
        <f t="shared" si="3"/>
        <v>-0.16403000000000001</v>
      </c>
      <c r="I28" s="2">
        <f t="shared" si="16"/>
        <v>2.8236669135550083</v>
      </c>
      <c r="J28" s="14">
        <f t="shared" si="4"/>
        <v>0.3</v>
      </c>
      <c r="K28" s="14">
        <f t="shared" si="5"/>
        <v>2.4653200000000002</v>
      </c>
      <c r="L28" s="14">
        <f t="shared" si="6"/>
        <v>-0.62256999999999996</v>
      </c>
      <c r="M28" s="14">
        <f t="shared" si="7"/>
        <v>-0.11656999999999999</v>
      </c>
      <c r="N28" s="2">
        <f t="shared" si="17"/>
        <v>2.7518247844275923</v>
      </c>
      <c r="O28" s="14">
        <f t="shared" si="8"/>
        <v>0.95844208446983292</v>
      </c>
      <c r="P28" s="29">
        <f>O28*A27*$P$6</f>
        <v>19.360530106290625</v>
      </c>
      <c r="Q28" s="194" t="str">
        <f t="shared" si="9"/>
        <v>0.8%</v>
      </c>
      <c r="R28" s="195"/>
      <c r="S28" s="194" t="str">
        <f t="shared" si="10"/>
        <v>1.5%</v>
      </c>
      <c r="T28" s="195"/>
      <c r="U28" s="194" t="str">
        <f t="shared" si="11"/>
        <v>2.4%</v>
      </c>
      <c r="V28" s="195"/>
      <c r="W28" s="194" t="str">
        <f t="shared" si="12"/>
        <v>0.4%</v>
      </c>
      <c r="X28" s="195"/>
      <c r="Y28" s="194" t="str">
        <f t="shared" si="13"/>
        <v>0.7%</v>
      </c>
      <c r="Z28" s="195"/>
      <c r="AA28" s="194" t="str">
        <f t="shared" si="14"/>
        <v>1.2%</v>
      </c>
      <c r="AB28" s="195"/>
    </row>
    <row r="29" spans="1:28" ht="18" customHeight="1" x14ac:dyDescent="0.3">
      <c r="A29" s="207"/>
      <c r="B29" s="91">
        <v>8</v>
      </c>
      <c r="C29" s="14">
        <f>C27</f>
        <v>1400</v>
      </c>
      <c r="D29" s="14">
        <f t="shared" si="15"/>
        <v>0.27</v>
      </c>
      <c r="E29" s="14">
        <f t="shared" si="0"/>
        <v>0.1</v>
      </c>
      <c r="F29" s="14">
        <f t="shared" si="1"/>
        <v>2.5532300000000001</v>
      </c>
      <c r="G29" s="14">
        <f t="shared" si="2"/>
        <v>-0.61512</v>
      </c>
      <c r="H29" s="14">
        <f t="shared" si="3"/>
        <v>-0.16403000000000001</v>
      </c>
      <c r="I29" s="2">
        <f t="shared" si="16"/>
        <v>2.8499708853067869</v>
      </c>
      <c r="J29" s="14">
        <f t="shared" si="4"/>
        <v>0.3</v>
      </c>
      <c r="K29" s="14">
        <f t="shared" si="5"/>
        <v>2.4653200000000002</v>
      </c>
      <c r="L29" s="14">
        <f t="shared" si="6"/>
        <v>-0.62256999999999996</v>
      </c>
      <c r="M29" s="14">
        <f t="shared" si="7"/>
        <v>-0.11656999999999999</v>
      </c>
      <c r="N29" s="2">
        <f t="shared" si="17"/>
        <v>2.781643281890847</v>
      </c>
      <c r="O29" s="14">
        <f t="shared" si="8"/>
        <v>1.0224147578849432</v>
      </c>
      <c r="P29" s="29">
        <f>O29*A27*$P$6</f>
        <v>20.652778109275854</v>
      </c>
      <c r="Q29" s="194" t="str">
        <f t="shared" si="9"/>
        <v>0.8%</v>
      </c>
      <c r="R29" s="195"/>
      <c r="S29" s="194" t="str">
        <f t="shared" si="10"/>
        <v>1.4%</v>
      </c>
      <c r="T29" s="195"/>
      <c r="U29" s="194" t="str">
        <f t="shared" si="11"/>
        <v>2.2%</v>
      </c>
      <c r="V29" s="195"/>
      <c r="W29" s="194" t="str">
        <f t="shared" si="12"/>
        <v>0.4%</v>
      </c>
      <c r="X29" s="195"/>
      <c r="Y29" s="194" t="str">
        <f t="shared" si="13"/>
        <v>0.7%</v>
      </c>
      <c r="Z29" s="195"/>
      <c r="AA29" s="194" t="str">
        <f t="shared" si="14"/>
        <v>1.1%</v>
      </c>
      <c r="AB29" s="195"/>
    </row>
    <row r="30" spans="1:28" ht="18" customHeight="1" thickBot="1" x14ac:dyDescent="0.35">
      <c r="A30" s="208"/>
      <c r="B30" s="92">
        <v>10</v>
      </c>
      <c r="C30" s="33">
        <f>C27</f>
        <v>1400</v>
      </c>
      <c r="D30" s="33">
        <f t="shared" si="15"/>
        <v>0.24000000000000002</v>
      </c>
      <c r="E30" s="33">
        <f t="shared" si="0"/>
        <v>0.1</v>
      </c>
      <c r="F30" s="33">
        <f t="shared" si="1"/>
        <v>2.5532300000000001</v>
      </c>
      <c r="G30" s="33">
        <f t="shared" si="2"/>
        <v>-0.61512</v>
      </c>
      <c r="H30" s="33">
        <f t="shared" si="3"/>
        <v>-0.16403000000000001</v>
      </c>
      <c r="I30" s="6">
        <f t="shared" si="16"/>
        <v>2.8714642876515004</v>
      </c>
      <c r="J30" s="33">
        <f t="shared" si="4"/>
        <v>0.3</v>
      </c>
      <c r="K30" s="33">
        <f t="shared" si="5"/>
        <v>2.4653200000000002</v>
      </c>
      <c r="L30" s="33">
        <f t="shared" si="6"/>
        <v>-0.62256999999999996</v>
      </c>
      <c r="M30" s="33">
        <f t="shared" si="7"/>
        <v>-0.11656999999999999</v>
      </c>
      <c r="N30" s="6">
        <f t="shared" si="17"/>
        <v>2.8064029083593347</v>
      </c>
      <c r="O30" s="33">
        <f t="shared" si="8"/>
        <v>1.0783348075548471</v>
      </c>
      <c r="P30" s="34">
        <f>O30*A27*$P$6</f>
        <v>21.782363112607911</v>
      </c>
      <c r="Q30" s="198" t="str">
        <f t="shared" si="9"/>
        <v>0.7%</v>
      </c>
      <c r="R30" s="199"/>
      <c r="S30" s="198" t="str">
        <f t="shared" si="10"/>
        <v>1.3%</v>
      </c>
      <c r="T30" s="199"/>
      <c r="U30" s="198" t="str">
        <f t="shared" si="11"/>
        <v>2.1%</v>
      </c>
      <c r="V30" s="199"/>
      <c r="W30" s="198" t="str">
        <f t="shared" si="12"/>
        <v>0.3%</v>
      </c>
      <c r="X30" s="199"/>
      <c r="Y30" s="198" t="str">
        <f t="shared" si="13"/>
        <v>0.6%</v>
      </c>
      <c r="Z30" s="199"/>
      <c r="AA30" s="198" t="str">
        <f t="shared" si="14"/>
        <v>1%</v>
      </c>
      <c r="AB30" s="199"/>
    </row>
    <row r="31" spans="1:28" ht="18" customHeight="1" x14ac:dyDescent="0.3">
      <c r="A31" s="207">
        <v>25</v>
      </c>
      <c r="B31" s="93">
        <v>4</v>
      </c>
      <c r="C31" s="14">
        <f>ROUND(1.5*SQRT(A31*43560)/10,0)*10</f>
        <v>1570</v>
      </c>
      <c r="D31" s="14">
        <f t="shared" si="15"/>
        <v>0.41000000000000003</v>
      </c>
      <c r="E31" s="14">
        <f t="shared" si="0"/>
        <v>0.1</v>
      </c>
      <c r="F31" s="14">
        <f t="shared" si="1"/>
        <v>2.5532300000000001</v>
      </c>
      <c r="G31" s="14">
        <f t="shared" si="2"/>
        <v>-0.61512</v>
      </c>
      <c r="H31" s="14">
        <f t="shared" si="3"/>
        <v>-0.16403000000000001</v>
      </c>
      <c r="I31" s="31">
        <f t="shared" si="16"/>
        <v>2.7668203359391459</v>
      </c>
      <c r="J31" s="14">
        <f t="shared" si="4"/>
        <v>0.3</v>
      </c>
      <c r="K31" s="14">
        <f t="shared" si="5"/>
        <v>2.4653200000000002</v>
      </c>
      <c r="L31" s="14">
        <f t="shared" si="6"/>
        <v>-0.62256999999999996</v>
      </c>
      <c r="M31" s="14">
        <f t="shared" si="7"/>
        <v>-0.11656999999999999</v>
      </c>
      <c r="N31" s="31">
        <f t="shared" si="17"/>
        <v>2.6889110749797189</v>
      </c>
      <c r="O31" s="14">
        <f t="shared" si="8"/>
        <v>0.83499856952777163</v>
      </c>
      <c r="P31" s="32">
        <f>O31*A31*$P$6</f>
        <v>21.083713880576234</v>
      </c>
      <c r="Q31" s="196" t="str">
        <f t="shared" si="9"/>
        <v>0.7%</v>
      </c>
      <c r="R31" s="197"/>
      <c r="S31" s="196" t="str">
        <f t="shared" si="10"/>
        <v>1.3%</v>
      </c>
      <c r="T31" s="197"/>
      <c r="U31" s="196" t="str">
        <f t="shared" si="11"/>
        <v>2.1%</v>
      </c>
      <c r="V31" s="197"/>
      <c r="W31" s="196" t="str">
        <f t="shared" si="12"/>
        <v>0.3%</v>
      </c>
      <c r="X31" s="197"/>
      <c r="Y31" s="196" t="str">
        <f t="shared" si="13"/>
        <v>0.6%</v>
      </c>
      <c r="Z31" s="197"/>
      <c r="AA31" s="196" t="str">
        <f t="shared" si="14"/>
        <v>1%</v>
      </c>
      <c r="AB31" s="197"/>
    </row>
    <row r="32" spans="1:28" ht="18" customHeight="1" x14ac:dyDescent="0.3">
      <c r="A32" s="207"/>
      <c r="B32" s="91">
        <v>6</v>
      </c>
      <c r="C32" s="14">
        <f>C31</f>
        <v>1570</v>
      </c>
      <c r="D32" s="14">
        <f t="shared" si="15"/>
        <v>0.33</v>
      </c>
      <c r="E32" s="14">
        <f t="shared" si="0"/>
        <v>0.1</v>
      </c>
      <c r="F32" s="14">
        <f t="shared" si="1"/>
        <v>2.5532300000000001</v>
      </c>
      <c r="G32" s="14">
        <f t="shared" si="2"/>
        <v>-0.61512</v>
      </c>
      <c r="H32" s="14">
        <f t="shared" si="3"/>
        <v>-0.16403000000000001</v>
      </c>
      <c r="I32" s="2">
        <f t="shared" si="16"/>
        <v>2.8113748229584572</v>
      </c>
      <c r="J32" s="14">
        <f t="shared" si="4"/>
        <v>0.3</v>
      </c>
      <c r="K32" s="14">
        <f t="shared" si="5"/>
        <v>2.4653200000000002</v>
      </c>
      <c r="L32" s="14">
        <f t="shared" si="6"/>
        <v>-0.62256999999999996</v>
      </c>
      <c r="M32" s="14">
        <f t="shared" si="7"/>
        <v>-0.11656999999999999</v>
      </c>
      <c r="N32" s="2">
        <f t="shared" si="17"/>
        <v>2.7380544901926891</v>
      </c>
      <c r="O32" s="14">
        <f t="shared" si="8"/>
        <v>0.930110790081075</v>
      </c>
      <c r="P32" s="29">
        <f>O32*A31*$P$6</f>
        <v>23.485297449547144</v>
      </c>
      <c r="Q32" s="194" t="str">
        <f t="shared" si="9"/>
        <v>0.6%</v>
      </c>
      <c r="R32" s="195"/>
      <c r="S32" s="194" t="str">
        <f t="shared" si="10"/>
        <v>1.1%</v>
      </c>
      <c r="T32" s="195"/>
      <c r="U32" s="194" t="str">
        <f t="shared" si="11"/>
        <v>1.8%</v>
      </c>
      <c r="V32" s="195"/>
      <c r="W32" s="194" t="str">
        <f t="shared" si="12"/>
        <v>0.3%</v>
      </c>
      <c r="X32" s="195"/>
      <c r="Y32" s="194" t="str">
        <f t="shared" si="13"/>
        <v>0.5%</v>
      </c>
      <c r="Z32" s="195"/>
      <c r="AA32" s="194" t="str">
        <f t="shared" si="14"/>
        <v>0.9%</v>
      </c>
      <c r="AB32" s="195"/>
    </row>
    <row r="33" spans="1:28" ht="18" customHeight="1" x14ac:dyDescent="0.3">
      <c r="A33" s="207"/>
      <c r="B33" s="91">
        <v>8</v>
      </c>
      <c r="C33" s="14">
        <f>C31</f>
        <v>1570</v>
      </c>
      <c r="D33" s="14">
        <f t="shared" si="15"/>
        <v>0.29000000000000004</v>
      </c>
      <c r="E33" s="14">
        <f t="shared" si="0"/>
        <v>0.1</v>
      </c>
      <c r="F33" s="14">
        <f t="shared" si="1"/>
        <v>2.5532300000000001</v>
      </c>
      <c r="G33" s="14">
        <f t="shared" si="2"/>
        <v>-0.61512</v>
      </c>
      <c r="H33" s="14">
        <f t="shared" si="3"/>
        <v>-0.16403000000000001</v>
      </c>
      <c r="I33" s="2">
        <f t="shared" si="16"/>
        <v>2.8365124633782739</v>
      </c>
      <c r="J33" s="14">
        <f t="shared" si="4"/>
        <v>0.3</v>
      </c>
      <c r="K33" s="14">
        <f t="shared" si="5"/>
        <v>2.4653200000000002</v>
      </c>
      <c r="L33" s="14">
        <f t="shared" si="6"/>
        <v>-0.62256999999999996</v>
      </c>
      <c r="M33" s="14">
        <f t="shared" si="7"/>
        <v>-0.11656999999999999</v>
      </c>
      <c r="N33" s="2">
        <f t="shared" si="17"/>
        <v>2.766324293508915</v>
      </c>
      <c r="O33" s="14">
        <f t="shared" si="8"/>
        <v>0.98909590644641054</v>
      </c>
      <c r="P33" s="29">
        <f>O33*A31*$P$6</f>
        <v>24.974671637771866</v>
      </c>
      <c r="Q33" s="194" t="str">
        <f t="shared" si="9"/>
        <v>0.6%</v>
      </c>
      <c r="R33" s="195"/>
      <c r="S33" s="194" t="str">
        <f t="shared" si="10"/>
        <v>1%</v>
      </c>
      <c r="T33" s="195"/>
      <c r="U33" s="194" t="str">
        <f t="shared" si="11"/>
        <v>1.7%</v>
      </c>
      <c r="V33" s="195"/>
      <c r="W33" s="194" t="str">
        <f t="shared" si="12"/>
        <v>0.3%</v>
      </c>
      <c r="X33" s="195"/>
      <c r="Y33" s="194" t="str">
        <f t="shared" si="13"/>
        <v>0.5%</v>
      </c>
      <c r="Z33" s="195"/>
      <c r="AA33" s="194" t="str">
        <f t="shared" si="14"/>
        <v>0.8%</v>
      </c>
      <c r="AB33" s="195"/>
    </row>
    <row r="34" spans="1:28" ht="18" customHeight="1" x14ac:dyDescent="0.3">
      <c r="A34" s="209"/>
      <c r="B34" s="91">
        <v>10</v>
      </c>
      <c r="C34" s="14">
        <f>C31</f>
        <v>1570</v>
      </c>
      <c r="D34" s="14">
        <f t="shared" si="15"/>
        <v>0.26</v>
      </c>
      <c r="E34" s="14">
        <f t="shared" si="0"/>
        <v>0.1</v>
      </c>
      <c r="F34" s="14">
        <f t="shared" si="1"/>
        <v>2.5532300000000001</v>
      </c>
      <c r="G34" s="14">
        <f t="shared" si="2"/>
        <v>-0.61512</v>
      </c>
      <c r="H34" s="14">
        <f t="shared" si="3"/>
        <v>-0.16403000000000001</v>
      </c>
      <c r="I34" s="2">
        <f t="shared" si="16"/>
        <v>2.8569513124028294</v>
      </c>
      <c r="J34" s="14">
        <f t="shared" si="4"/>
        <v>0.3</v>
      </c>
      <c r="K34" s="14">
        <f t="shared" si="5"/>
        <v>2.4653200000000002</v>
      </c>
      <c r="L34" s="14">
        <f t="shared" si="6"/>
        <v>-0.62256999999999996</v>
      </c>
      <c r="M34" s="14">
        <f t="shared" si="7"/>
        <v>-0.11656999999999999</v>
      </c>
      <c r="N34" s="2">
        <f t="shared" si="17"/>
        <v>2.7896432394333663</v>
      </c>
      <c r="O34" s="14">
        <f t="shared" si="8"/>
        <v>1.0402010837944702</v>
      </c>
      <c r="P34" s="29">
        <f>O34*A31*$P$6</f>
        <v>26.265077365810374</v>
      </c>
      <c r="Q34" s="194" t="str">
        <f t="shared" si="9"/>
        <v>0.5%</v>
      </c>
      <c r="R34" s="195"/>
      <c r="S34" s="194" t="str">
        <f t="shared" si="10"/>
        <v>0.9%</v>
      </c>
      <c r="T34" s="195"/>
      <c r="U34" s="194" t="str">
        <f t="shared" si="11"/>
        <v>1.5%</v>
      </c>
      <c r="V34" s="195"/>
      <c r="W34" s="194" t="str">
        <f t="shared" si="12"/>
        <v>0.2%</v>
      </c>
      <c r="X34" s="195"/>
      <c r="Y34" s="194" t="str">
        <f t="shared" si="13"/>
        <v>0.5%</v>
      </c>
      <c r="Z34" s="195"/>
      <c r="AA34" s="194" t="str">
        <f t="shared" si="14"/>
        <v>0.7%</v>
      </c>
      <c r="AB34" s="195"/>
    </row>
    <row r="35" spans="1:28" ht="9.75" customHeight="1" x14ac:dyDescent="0.3"/>
    <row r="36" spans="1:28" x14ac:dyDescent="0.3">
      <c r="A36" s="7" t="s">
        <v>48</v>
      </c>
      <c r="Q36" s="9"/>
      <c r="R36" s="9"/>
    </row>
    <row r="37" spans="1:28" x14ac:dyDescent="0.3">
      <c r="A37" s="71" t="s">
        <v>27</v>
      </c>
      <c r="Q37" s="3"/>
      <c r="R37" s="3"/>
      <c r="S37" s="8"/>
      <c r="T37" s="8"/>
      <c r="U37" s="8"/>
      <c r="V37" s="8"/>
      <c r="W37" s="8"/>
      <c r="X37" s="8"/>
    </row>
    <row r="38" spans="1:28" x14ac:dyDescent="0.3">
      <c r="A38" s="71" t="s">
        <v>28</v>
      </c>
      <c r="P38" s="8"/>
      <c r="Q38" s="8"/>
      <c r="R38" s="8"/>
      <c r="S38" s="8"/>
      <c r="T38" s="8"/>
      <c r="U38" s="8"/>
      <c r="V38" s="8"/>
      <c r="W38" s="8"/>
      <c r="X38" s="8"/>
    </row>
    <row r="39" spans="1:28" x14ac:dyDescent="0.3">
      <c r="A39" s="71" t="s">
        <v>29</v>
      </c>
    </row>
    <row r="40" spans="1:28" x14ac:dyDescent="0.3">
      <c r="A40" s="7" t="s">
        <v>30</v>
      </c>
    </row>
    <row r="41" spans="1:28" ht="7.5" customHeight="1" x14ac:dyDescent="0.3"/>
    <row r="42" spans="1:28" ht="16.2" x14ac:dyDescent="0.3">
      <c r="A42" s="7" t="s">
        <v>25</v>
      </c>
    </row>
  </sheetData>
  <sheetProtection algorithmName="SHA-512" hashValue="2pG7VvWWWPp663AD/DFI/s/X0F1uTSAGZ7bxFBjcW3gZO63QuTahicxeDrXYj4xVhKSxuvn7jzUNSo7n67iauA==" saltValue="JPdUSwm6A3jjP3T6XQBi6g==" spinCount="100000" sheet="1" objects="1" scenarios="1" selectLockedCells="1"/>
  <mergeCells count="180">
    <mergeCell ref="A31:A34"/>
    <mergeCell ref="A11:A14"/>
    <mergeCell ref="A1:AB1"/>
    <mergeCell ref="Q3:R3"/>
    <mergeCell ref="Q6:AB6"/>
    <mergeCell ref="P8:P9"/>
    <mergeCell ref="B8:B9"/>
    <mergeCell ref="A8:A9"/>
    <mergeCell ref="Q9:V9"/>
    <mergeCell ref="Q8:AB8"/>
    <mergeCell ref="W9:AB9"/>
    <mergeCell ref="D8:D9"/>
    <mergeCell ref="C8:C9"/>
    <mergeCell ref="O8:O9"/>
    <mergeCell ref="E9:E10"/>
    <mergeCell ref="G9:G10"/>
    <mergeCell ref="K9:K10"/>
    <mergeCell ref="L9:L10"/>
    <mergeCell ref="M9:M10"/>
    <mergeCell ref="N9:N10"/>
    <mergeCell ref="AA10:AB10"/>
    <mergeCell ref="Q11:R11"/>
    <mergeCell ref="Q12:R12"/>
    <mergeCell ref="W11:X11"/>
    <mergeCell ref="A15:A18"/>
    <mergeCell ref="A19:A22"/>
    <mergeCell ref="A23:A26"/>
    <mergeCell ref="A27:A30"/>
    <mergeCell ref="U11:V11"/>
    <mergeCell ref="U12:V12"/>
    <mergeCell ref="U13:V13"/>
    <mergeCell ref="U14:V14"/>
    <mergeCell ref="Q24:R24"/>
    <mergeCell ref="Q18:R18"/>
    <mergeCell ref="Q19:R19"/>
    <mergeCell ref="Q30:R30"/>
    <mergeCell ref="S27:T27"/>
    <mergeCell ref="S28:T28"/>
    <mergeCell ref="S29:T29"/>
    <mergeCell ref="Q23:R23"/>
    <mergeCell ref="U23:V23"/>
    <mergeCell ref="U24:V24"/>
    <mergeCell ref="U15:V15"/>
    <mergeCell ref="U16:V16"/>
    <mergeCell ref="U17:V17"/>
    <mergeCell ref="U18:V18"/>
    <mergeCell ref="U19:V19"/>
    <mergeCell ref="Q13:R13"/>
    <mergeCell ref="Q14:R14"/>
    <mergeCell ref="S11:T11"/>
    <mergeCell ref="S12:T12"/>
    <mergeCell ref="Q15:R15"/>
    <mergeCell ref="Q16:R16"/>
    <mergeCell ref="Q17:R17"/>
    <mergeCell ref="E8:I8"/>
    <mergeCell ref="J8:N8"/>
    <mergeCell ref="F9:F10"/>
    <mergeCell ref="H9:H10"/>
    <mergeCell ref="I9:I10"/>
    <mergeCell ref="J9:J10"/>
    <mergeCell ref="Q10:R10"/>
    <mergeCell ref="S10:T10"/>
    <mergeCell ref="Q20:R20"/>
    <mergeCell ref="Q21:R21"/>
    <mergeCell ref="Q22:R22"/>
    <mergeCell ref="S15:T15"/>
    <mergeCell ref="S16:T16"/>
    <mergeCell ref="S17:T17"/>
    <mergeCell ref="S18:T18"/>
    <mergeCell ref="S19:T19"/>
    <mergeCell ref="U20:V20"/>
    <mergeCell ref="U21:V21"/>
    <mergeCell ref="U22:V22"/>
    <mergeCell ref="S30:T30"/>
    <mergeCell ref="S31:T31"/>
    <mergeCell ref="S32:T32"/>
    <mergeCell ref="S33:T33"/>
    <mergeCell ref="S34:T34"/>
    <mergeCell ref="S25:T25"/>
    <mergeCell ref="S26:T26"/>
    <mergeCell ref="W10:X10"/>
    <mergeCell ref="Y10:Z10"/>
    <mergeCell ref="W19:X19"/>
    <mergeCell ref="W20:X20"/>
    <mergeCell ref="W21:X21"/>
    <mergeCell ref="W22:X22"/>
    <mergeCell ref="U10:V10"/>
    <mergeCell ref="W12:X12"/>
    <mergeCell ref="U33:V33"/>
    <mergeCell ref="U34:V34"/>
    <mergeCell ref="U25:V25"/>
    <mergeCell ref="U26:V26"/>
    <mergeCell ref="U27:V27"/>
    <mergeCell ref="U28:V28"/>
    <mergeCell ref="U29:V29"/>
    <mergeCell ref="U31:V31"/>
    <mergeCell ref="U32:V32"/>
    <mergeCell ref="Q31:R31"/>
    <mergeCell ref="W13:X13"/>
    <mergeCell ref="S13:T13"/>
    <mergeCell ref="S14:T14"/>
    <mergeCell ref="Q32:R32"/>
    <mergeCell ref="Q33:R33"/>
    <mergeCell ref="Q34:R34"/>
    <mergeCell ref="Q25:R25"/>
    <mergeCell ref="Q26:R26"/>
    <mergeCell ref="Q27:R27"/>
    <mergeCell ref="Q28:R28"/>
    <mergeCell ref="Q29:R29"/>
    <mergeCell ref="S20:T20"/>
    <mergeCell ref="S21:T21"/>
    <mergeCell ref="S22:T22"/>
    <mergeCell ref="S23:T23"/>
    <mergeCell ref="S24:T24"/>
    <mergeCell ref="W23:X23"/>
    <mergeCell ref="W14:X14"/>
    <mergeCell ref="W15:X15"/>
    <mergeCell ref="W16:X16"/>
    <mergeCell ref="W17:X17"/>
    <mergeCell ref="W18:X18"/>
    <mergeCell ref="U30:V30"/>
    <mergeCell ref="W24:X24"/>
    <mergeCell ref="W25:X25"/>
    <mergeCell ref="W26:X26"/>
    <mergeCell ref="Y31:Z31"/>
    <mergeCell ref="Y32:Z32"/>
    <mergeCell ref="Y33:Z33"/>
    <mergeCell ref="W27:X27"/>
    <mergeCell ref="W28:X28"/>
    <mergeCell ref="W31:X31"/>
    <mergeCell ref="W32:X32"/>
    <mergeCell ref="W33:X33"/>
    <mergeCell ref="AA33:AB33"/>
    <mergeCell ref="AA34:AB34"/>
    <mergeCell ref="AA28:AB28"/>
    <mergeCell ref="AA29:AB29"/>
    <mergeCell ref="AA30:AB30"/>
    <mergeCell ref="AA31:AB31"/>
    <mergeCell ref="W34:X34"/>
    <mergeCell ref="Y11:Z11"/>
    <mergeCell ref="Y12:Z12"/>
    <mergeCell ref="Y13:Z13"/>
    <mergeCell ref="Y14:Z14"/>
    <mergeCell ref="Y15:Z15"/>
    <mergeCell ref="Y16:Z16"/>
    <mergeCell ref="Y17:Z17"/>
    <mergeCell ref="Y18:Z18"/>
    <mergeCell ref="Y19:Z19"/>
    <mergeCell ref="Y20:Z20"/>
    <mergeCell ref="Y21:Z21"/>
    <mergeCell ref="Y22:Z22"/>
    <mergeCell ref="Y23:Z23"/>
    <mergeCell ref="Y24:Z24"/>
    <mergeCell ref="Y25:Z25"/>
    <mergeCell ref="W29:X29"/>
    <mergeCell ref="W30:X30"/>
    <mergeCell ref="AA32:AB32"/>
    <mergeCell ref="AA23:AB23"/>
    <mergeCell ref="AA24:AB24"/>
    <mergeCell ref="AA25:AB25"/>
    <mergeCell ref="AA26:AB26"/>
    <mergeCell ref="AA27:AB27"/>
    <mergeCell ref="Y34:Z34"/>
    <mergeCell ref="AA11:AB11"/>
    <mergeCell ref="AA12:AB12"/>
    <mergeCell ref="AA13:AB13"/>
    <mergeCell ref="AA14:AB14"/>
    <mergeCell ref="AA15:AB15"/>
    <mergeCell ref="AA16:AB16"/>
    <mergeCell ref="AA17:AB17"/>
    <mergeCell ref="AA18:AB18"/>
    <mergeCell ref="AA19:AB19"/>
    <mergeCell ref="AA20:AB20"/>
    <mergeCell ref="AA21:AB21"/>
    <mergeCell ref="AA22:AB22"/>
    <mergeCell ref="Y26:Z26"/>
    <mergeCell ref="Y27:Z27"/>
    <mergeCell ref="Y28:Z28"/>
    <mergeCell ref="Y29:Z29"/>
    <mergeCell ref="Y30:Z30"/>
  </mergeCells>
  <dataValidations count="1">
    <dataValidation type="whole" allowBlank="1" showInputMessage="1" showErrorMessage="1" errorTitle="RCN Error" error="RCN must be a whole number between 40 and 95" sqref="P5" xr:uid="{00000000-0002-0000-0200-000000000000}">
      <formula1>40</formula1>
      <formula2>95</formula2>
    </dataValidation>
  </dataValidations>
  <pageMargins left="0.7" right="0.7" top="0.75" bottom="0.75" header="0.3" footer="0.3"/>
  <pageSetup scale="70" orientation="landscape" verticalDpi="597" r:id="rId1"/>
  <headerFooter>
    <oddHeader>&amp;LNRCS Nebraska&amp;R10/2016</oddHeader>
  </headerFooter>
  <rowBreaks count="1" manualBreakCount="1">
    <brk id="58" max="8"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County!$B$1:$E$1</xm:f>
          </x14:formula1>
          <xm:sqref>T3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41"/>
  <sheetViews>
    <sheetView showGridLines="0" showRowColHeaders="0" zoomScale="90" zoomScaleNormal="90" zoomScaleSheetLayoutView="102" workbookViewId="0">
      <selection activeCell="B11" sqref="B11"/>
    </sheetView>
  </sheetViews>
  <sheetFormatPr defaultRowHeight="14.4" x14ac:dyDescent="0.3"/>
  <cols>
    <col min="1" max="1" width="13.5546875" customWidth="1"/>
    <col min="2" max="2" width="19" customWidth="1"/>
    <col min="3" max="4" width="19" hidden="1" customWidth="1"/>
    <col min="5" max="14" width="5.6640625" hidden="1" customWidth="1"/>
    <col min="15" max="15" width="19" hidden="1" customWidth="1"/>
    <col min="16" max="16" width="14.44140625" customWidth="1"/>
    <col min="17" max="17" width="10.6640625" customWidth="1"/>
    <col min="18" max="18" width="8.33203125" customWidth="1"/>
    <col min="19" max="19" width="10.6640625" customWidth="1"/>
    <col min="20" max="20" width="8.33203125" customWidth="1"/>
    <col min="21" max="21" width="10.6640625" customWidth="1"/>
    <col min="22" max="22" width="8.33203125" customWidth="1"/>
    <col min="23" max="23" width="10.6640625" customWidth="1"/>
    <col min="24" max="24" width="8.33203125" customWidth="1"/>
    <col min="25" max="25" width="10.6640625" customWidth="1"/>
    <col min="26" max="26" width="8.33203125" customWidth="1"/>
    <col min="27" max="27" width="10.6640625" customWidth="1"/>
    <col min="28" max="28" width="8.33203125" customWidth="1"/>
  </cols>
  <sheetData>
    <row r="1" spans="1:41" ht="18" customHeight="1" x14ac:dyDescent="0.4">
      <c r="A1" s="211" t="s">
        <v>53</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row>
    <row r="2" spans="1:41" ht="13.5" customHeight="1" x14ac:dyDescent="0.3"/>
    <row r="3" spans="1:41" ht="18" customHeight="1" x14ac:dyDescent="0.3">
      <c r="B3" s="13" t="s">
        <v>57</v>
      </c>
      <c r="C3" s="13"/>
      <c r="D3" s="13"/>
      <c r="E3" s="13" t="s">
        <v>97</v>
      </c>
      <c r="F3" s="13">
        <f>MATCH(T3,County!B1:H1)</f>
        <v>2</v>
      </c>
      <c r="G3" s="13"/>
      <c r="H3" s="13"/>
      <c r="I3" s="13"/>
      <c r="J3" s="13"/>
      <c r="K3" s="13"/>
      <c r="L3" s="13"/>
      <c r="M3" s="13"/>
      <c r="N3" s="13"/>
      <c r="O3" s="13"/>
      <c r="P3" s="117" t="str">
        <f>'Field Worksheet'!B7</f>
        <v>PLATTE</v>
      </c>
      <c r="Q3" s="212">
        <f>VLOOKUP(P3,County!A2:H115,F3+1)</f>
        <v>2.83</v>
      </c>
      <c r="R3" s="213"/>
      <c r="S3" t="s">
        <v>95</v>
      </c>
      <c r="T3" s="39">
        <v>2</v>
      </c>
      <c r="U3" s="9" t="s">
        <v>96</v>
      </c>
      <c r="AO3" s="19" t="e">
        <f>VLOOKUP(P3,RainfallZones,3)</f>
        <v>#NAME?</v>
      </c>
    </row>
    <row r="4" spans="1:41" ht="18" customHeight="1" x14ac:dyDescent="0.3"/>
    <row r="5" spans="1:41" ht="18" customHeight="1" x14ac:dyDescent="0.3">
      <c r="B5" s="5" t="s">
        <v>16</v>
      </c>
      <c r="C5" s="5"/>
      <c r="E5" s="5" t="s">
        <v>86</v>
      </c>
      <c r="F5" s="8">
        <f>MIN(MAX(ROUNDUP(0.2*((1000/$P$5)-10)/$Q$3,2),0.1),0.5)</f>
        <v>0.1</v>
      </c>
      <c r="G5" s="5"/>
      <c r="H5" s="5"/>
      <c r="I5" s="5"/>
      <c r="J5" s="5"/>
      <c r="K5" s="5"/>
      <c r="L5" s="5"/>
      <c r="M5" s="5"/>
      <c r="N5" s="5"/>
      <c r="O5" s="5"/>
      <c r="P5" s="30">
        <v>91</v>
      </c>
      <c r="Q5" s="17" t="s">
        <v>24</v>
      </c>
    </row>
    <row r="6" spans="1:41" ht="18" customHeight="1" x14ac:dyDescent="0.3">
      <c r="B6" s="5"/>
      <c r="C6" s="5"/>
      <c r="D6" s="5"/>
      <c r="E6" s="5" t="s">
        <v>94</v>
      </c>
      <c r="F6" s="5"/>
      <c r="G6" s="5"/>
      <c r="H6" s="5"/>
      <c r="I6" s="5"/>
      <c r="J6" s="5" t="s">
        <v>93</v>
      </c>
      <c r="K6" s="5"/>
      <c r="L6" s="5"/>
      <c r="M6" s="5"/>
      <c r="N6" s="5"/>
      <c r="P6" s="2">
        <f>ROUNDUP(($Q$3-(0.2*(1000/$P$5-10)))^2/($Q$3+0.8*(1000/$P$5-10)),2)</f>
        <v>1.92</v>
      </c>
      <c r="Q6" s="214" t="s">
        <v>98</v>
      </c>
      <c r="R6" s="214"/>
      <c r="S6" s="214"/>
      <c r="T6" s="214"/>
      <c r="U6" s="214"/>
      <c r="V6" s="214"/>
      <c r="W6" s="214"/>
      <c r="X6" s="214"/>
      <c r="Y6" s="214"/>
      <c r="Z6" s="214"/>
      <c r="AA6" s="214"/>
      <c r="AB6" s="214"/>
    </row>
    <row r="7" spans="1:41" ht="18" customHeight="1" x14ac:dyDescent="0.3">
      <c r="E7" s="14">
        <f>IFERROR(MATCH(my_Iap,IaP_List,1),1)</f>
        <v>1</v>
      </c>
      <c r="J7">
        <f>IF(OR(my_Iap=0.1,my_Iap=0.5),Row_1,Row_1+1)</f>
        <v>2</v>
      </c>
      <c r="P7" s="10"/>
      <c r="Q7" s="9"/>
      <c r="R7" s="9"/>
    </row>
    <row r="8" spans="1:41" ht="18" customHeight="1" x14ac:dyDescent="0.3">
      <c r="A8" s="219" t="s">
        <v>17</v>
      </c>
      <c r="B8" s="217" t="s">
        <v>18</v>
      </c>
      <c r="C8" s="222" t="s">
        <v>80</v>
      </c>
      <c r="D8" s="222" t="s">
        <v>81</v>
      </c>
      <c r="E8" s="202" t="s">
        <v>94</v>
      </c>
      <c r="F8" s="202"/>
      <c r="G8" s="202"/>
      <c r="H8" s="202"/>
      <c r="I8" s="203"/>
      <c r="J8" s="202" t="s">
        <v>93</v>
      </c>
      <c r="K8" s="202"/>
      <c r="L8" s="202"/>
      <c r="M8" s="202"/>
      <c r="N8" s="203"/>
      <c r="O8" s="222" t="s">
        <v>83</v>
      </c>
      <c r="P8" s="215" t="s">
        <v>19</v>
      </c>
      <c r="Q8" s="221" t="s">
        <v>227</v>
      </c>
      <c r="R8" s="221"/>
      <c r="S8" s="221"/>
      <c r="T8" s="221"/>
      <c r="U8" s="221"/>
      <c r="V8" s="221"/>
      <c r="W8" s="221"/>
      <c r="X8" s="221"/>
      <c r="Y8" s="221"/>
      <c r="Z8" s="221"/>
      <c r="AA8" s="221"/>
      <c r="AB8" s="221"/>
    </row>
    <row r="9" spans="1:41" ht="18" customHeight="1" x14ac:dyDescent="0.3">
      <c r="A9" s="218"/>
      <c r="B9" s="218"/>
      <c r="C9" s="204"/>
      <c r="D9" s="204"/>
      <c r="E9" s="204" t="s">
        <v>91</v>
      </c>
      <c r="F9" s="204" t="s">
        <v>87</v>
      </c>
      <c r="G9" s="204" t="s">
        <v>88</v>
      </c>
      <c r="H9" s="204" t="s">
        <v>89</v>
      </c>
      <c r="I9" s="204" t="s">
        <v>92</v>
      </c>
      <c r="J9" s="204" t="s">
        <v>91</v>
      </c>
      <c r="K9" s="204" t="s">
        <v>87</v>
      </c>
      <c r="L9" s="204" t="s">
        <v>88</v>
      </c>
      <c r="M9" s="204" t="s">
        <v>89</v>
      </c>
      <c r="N9" s="204" t="s">
        <v>92</v>
      </c>
      <c r="O9" s="204"/>
      <c r="P9" s="216"/>
      <c r="Q9" s="220" t="s">
        <v>26</v>
      </c>
      <c r="R9" s="220"/>
      <c r="S9" s="220"/>
      <c r="T9" s="220"/>
      <c r="U9" s="220"/>
      <c r="V9" s="220"/>
      <c r="W9" s="220" t="s">
        <v>52</v>
      </c>
      <c r="X9" s="220"/>
      <c r="Y9" s="220"/>
      <c r="Z9" s="220"/>
      <c r="AA9" s="220"/>
      <c r="AB9" s="220"/>
    </row>
    <row r="10" spans="1:41" ht="18" customHeight="1" x14ac:dyDescent="0.3">
      <c r="A10" s="4" t="s">
        <v>13</v>
      </c>
      <c r="B10" s="4" t="s">
        <v>14</v>
      </c>
      <c r="C10" s="14" t="s">
        <v>79</v>
      </c>
      <c r="D10" s="14" t="s">
        <v>82</v>
      </c>
      <c r="E10" s="205"/>
      <c r="F10" s="205"/>
      <c r="G10" s="205"/>
      <c r="H10" s="205"/>
      <c r="I10" s="205"/>
      <c r="J10" s="205"/>
      <c r="K10" s="205"/>
      <c r="L10" s="205"/>
      <c r="M10" s="205"/>
      <c r="N10" s="205"/>
      <c r="O10" s="14" t="s">
        <v>84</v>
      </c>
      <c r="P10" s="14" t="s">
        <v>0</v>
      </c>
      <c r="Q10" s="200" t="s">
        <v>223</v>
      </c>
      <c r="R10" s="201"/>
      <c r="S10" s="200" t="s">
        <v>224</v>
      </c>
      <c r="T10" s="201"/>
      <c r="U10" s="200" t="s">
        <v>225</v>
      </c>
      <c r="V10" s="201"/>
      <c r="W10" s="200" t="s">
        <v>223</v>
      </c>
      <c r="X10" s="201"/>
      <c r="Y10" s="200" t="s">
        <v>224</v>
      </c>
      <c r="Z10" s="201"/>
      <c r="AA10" s="200" t="s">
        <v>225</v>
      </c>
      <c r="AB10" s="201"/>
    </row>
    <row r="11" spans="1:41" ht="18" customHeight="1" x14ac:dyDescent="0.3">
      <c r="A11" s="210">
        <v>0.5</v>
      </c>
      <c r="B11" s="87">
        <v>4</v>
      </c>
      <c r="C11" s="38">
        <f>ROUND(1.5*SQRT(A11*43560)/10,0)*10</f>
        <v>220</v>
      </c>
      <c r="D11" s="38">
        <f>ROUNDUP((C11^0.8)*(((1000/$P$5)-9)^0.7)/(1140*B11^0.5),2)</f>
        <v>6.0000000000000005E-2</v>
      </c>
      <c r="E11" s="38">
        <f t="shared" ref="E11:E34" si="0">INDEX(IaP_List,Row_1)</f>
        <v>0.1</v>
      </c>
      <c r="F11" s="38">
        <f t="shared" ref="F11:F34" si="1">INDEX(Coeff0_List,Row_1)</f>
        <v>2.5532300000000001</v>
      </c>
      <c r="G11" s="38">
        <f t="shared" ref="G11:G34" si="2">INDEX(Coeff1_List,Row_1)</f>
        <v>-0.61512</v>
      </c>
      <c r="H11" s="38">
        <f t="shared" ref="H11:H34" si="3">INDEX(Coeff2_List,Row_1)</f>
        <v>-0.16403000000000001</v>
      </c>
      <c r="I11" s="2">
        <f>F11+(G11*LOG($D11))+(H11*LOG($D11)^2)</f>
        <v>3.0599308592550001</v>
      </c>
      <c r="J11" s="38">
        <f t="shared" ref="J11:J34" si="4">INDEX(IaP_List,Row_2)</f>
        <v>0.3</v>
      </c>
      <c r="K11" s="38">
        <f t="shared" ref="K11:K34" si="5">INDEX(Coeff0_List,Row_2)</f>
        <v>2.4653200000000002</v>
      </c>
      <c r="L11" s="38">
        <f t="shared" ref="L11:L34" si="6">INDEX(Coeff1_List,Row_2)</f>
        <v>-0.62256999999999996</v>
      </c>
      <c r="M11" s="38">
        <f t="shared" ref="M11:M34" si="7">INDEX(Coeff2_List,Row_2)</f>
        <v>-0.11656999999999999</v>
      </c>
      <c r="N11" s="2">
        <f>K11+(L11*LOG($D11))+(M11*LOG($D11)^2)</f>
        <v>3.05197734829457</v>
      </c>
      <c r="O11" s="38">
        <f t="shared" ref="O11:O34" si="8">10^(IF(Row_1=Row_2,$I11,((N11-I11)*((E11-my_Iap)/(E11-J11))+I11)))/640</f>
        <v>1.7773547933831988</v>
      </c>
      <c r="P11" s="29">
        <f>O11*A11*$P$6</f>
        <v>1.7062606016478707</v>
      </c>
      <c r="Q11" s="194" t="str">
        <f t="shared" ref="Q11:Q34" si="9">IF(VLOOKUP($P11,CleanErosResBedS,2,TRUE)&gt;0,VLOOKUP($P11,CleanErosResBedS,2,TRUE)&amp;"%","-")</f>
        <v>0.7%</v>
      </c>
      <c r="R11" s="195"/>
      <c r="S11" s="194" t="str">
        <f t="shared" ref="S11:S34" si="10">IF(VLOOKUP($P11,CleanErosResBedS,4,TRUE)&gt;0,VLOOKUP($P11,CleanErosResBedS,4,TRUE)&amp;"%","-")</f>
        <v>1%</v>
      </c>
      <c r="T11" s="195"/>
      <c r="U11" s="194" t="str">
        <f t="shared" ref="U11:U34" si="11">IF(VLOOKUP($P11,CleanErosResBedS,6,TRUE)&gt;0,VLOOKUP($P11,CleanErosResBedS,6,TRUE)&amp;"%","-")</f>
        <v>1.3%</v>
      </c>
      <c r="V11" s="195"/>
      <c r="W11" s="194" t="str">
        <f t="shared" ref="W11:W34" si="12">IF(VLOOKUP($P11,CleanErodibleBedS,2,TRUE)&gt;0,VLOOKUP($P11,CleanErodibleBedS,2,TRUE)&amp;"%","-")</f>
        <v>0.3%</v>
      </c>
      <c r="X11" s="195"/>
      <c r="Y11" s="194" t="str">
        <f t="shared" ref="Y11:Y34" si="13">IF(VLOOKUP($P11,CleanErodibleBedS,4,TRUE)&gt;0,VLOOKUP($P11,CleanErodibleBedS,4,TRUE)&amp;"%","-")</f>
        <v>0.5%</v>
      </c>
      <c r="Z11" s="195"/>
      <c r="AA11" s="194" t="str">
        <f t="shared" ref="AA11:AA34" si="14">IF(VLOOKUP($P11,CleanErodibleBedS,6,TRUE)&gt;0,VLOOKUP($P11,CleanErodibleBedS,6,TRUE)&amp;"%","-")</f>
        <v>0.6%</v>
      </c>
      <c r="AB11" s="195"/>
    </row>
    <row r="12" spans="1:41" ht="18" customHeight="1" x14ac:dyDescent="0.3">
      <c r="A12" s="207"/>
      <c r="B12" s="88">
        <v>6</v>
      </c>
      <c r="C12" s="14">
        <f>C11</f>
        <v>220</v>
      </c>
      <c r="D12" s="14">
        <f t="shared" ref="D12:D34" si="15">ROUNDUP((C12^0.8)*(((1000/$P$5)-9)^0.7)/(1140*B12^0.5),2)</f>
        <v>0.05</v>
      </c>
      <c r="E12" s="14">
        <f t="shared" si="0"/>
        <v>0.1</v>
      </c>
      <c r="F12" s="14">
        <f t="shared" si="1"/>
        <v>2.5532300000000001</v>
      </c>
      <c r="G12" s="14">
        <f t="shared" si="2"/>
        <v>-0.61512</v>
      </c>
      <c r="H12" s="14">
        <f t="shared" si="3"/>
        <v>-0.16403000000000001</v>
      </c>
      <c r="I12" s="2">
        <f t="shared" ref="I12:I34" si="16">F12+(G12*LOG($D12))+(H12*LOG($D12)^2)</f>
        <v>3.0758694264240831</v>
      </c>
      <c r="J12" s="14">
        <f t="shared" si="4"/>
        <v>0.3</v>
      </c>
      <c r="K12" s="14">
        <f t="shared" si="5"/>
        <v>2.4653200000000002</v>
      </c>
      <c r="L12" s="14">
        <f t="shared" si="6"/>
        <v>-0.62256999999999996</v>
      </c>
      <c r="M12" s="14">
        <f t="shared" si="7"/>
        <v>-0.11656999999999999</v>
      </c>
      <c r="N12" s="2">
        <f t="shared" ref="N12:N34" si="17">K12+(L12*LOG($D12))+(M12*LOG($D12)^2)</f>
        <v>3.0779866475866227</v>
      </c>
      <c r="O12" s="14">
        <f t="shared" si="8"/>
        <v>1.8652973061391553</v>
      </c>
      <c r="P12" s="29">
        <f>O12*A11*$P$6</f>
        <v>1.790685413893589</v>
      </c>
      <c r="Q12" s="194" t="str">
        <f t="shared" si="9"/>
        <v>0.7%</v>
      </c>
      <c r="R12" s="195"/>
      <c r="S12" s="194" t="str">
        <f t="shared" si="10"/>
        <v>1%</v>
      </c>
      <c r="T12" s="195"/>
      <c r="U12" s="194" t="str">
        <f t="shared" si="11"/>
        <v>1.3%</v>
      </c>
      <c r="V12" s="195"/>
      <c r="W12" s="194" t="str">
        <f t="shared" si="12"/>
        <v>0.3%</v>
      </c>
      <c r="X12" s="195"/>
      <c r="Y12" s="194" t="str">
        <f t="shared" si="13"/>
        <v>0.5%</v>
      </c>
      <c r="Z12" s="195"/>
      <c r="AA12" s="194" t="str">
        <f t="shared" si="14"/>
        <v>0.6%</v>
      </c>
      <c r="AB12" s="195"/>
    </row>
    <row r="13" spans="1:41" ht="18" customHeight="1" x14ac:dyDescent="0.3">
      <c r="A13" s="207"/>
      <c r="B13" s="88">
        <v>8</v>
      </c>
      <c r="C13" s="14">
        <f>C11</f>
        <v>220</v>
      </c>
      <c r="D13" s="14">
        <f t="shared" si="15"/>
        <v>0.04</v>
      </c>
      <c r="E13" s="14">
        <f t="shared" si="0"/>
        <v>0.1</v>
      </c>
      <c r="F13" s="14">
        <f t="shared" si="1"/>
        <v>2.5532300000000001</v>
      </c>
      <c r="G13" s="14">
        <f t="shared" si="2"/>
        <v>-0.61512</v>
      </c>
      <c r="H13" s="14">
        <f t="shared" si="3"/>
        <v>-0.16403000000000001</v>
      </c>
      <c r="I13" s="2">
        <f t="shared" si="16"/>
        <v>3.0925774831195683</v>
      </c>
      <c r="J13" s="14">
        <f t="shared" si="4"/>
        <v>0.3</v>
      </c>
      <c r="K13" s="14">
        <f t="shared" si="5"/>
        <v>2.4653200000000002</v>
      </c>
      <c r="L13" s="14">
        <f t="shared" si="6"/>
        <v>-0.62256999999999996</v>
      </c>
      <c r="M13" s="14">
        <f t="shared" si="7"/>
        <v>-0.11656999999999999</v>
      </c>
      <c r="N13" s="2">
        <f t="shared" si="17"/>
        <v>3.1078301894561453</v>
      </c>
      <c r="O13" s="14">
        <f t="shared" si="8"/>
        <v>1.9679944181608442</v>
      </c>
      <c r="P13" s="29">
        <f>O13*A11*$P$6</f>
        <v>1.8892746414344104</v>
      </c>
      <c r="Q13" s="194" t="str">
        <f t="shared" si="9"/>
        <v>0.7%</v>
      </c>
      <c r="R13" s="195"/>
      <c r="S13" s="194" t="str">
        <f t="shared" si="10"/>
        <v>1%</v>
      </c>
      <c r="T13" s="195"/>
      <c r="U13" s="194" t="str">
        <f t="shared" si="11"/>
        <v>1.3%</v>
      </c>
      <c r="V13" s="195"/>
      <c r="W13" s="194" t="str">
        <f t="shared" si="12"/>
        <v>0.3%</v>
      </c>
      <c r="X13" s="195"/>
      <c r="Y13" s="194" t="str">
        <f t="shared" si="13"/>
        <v>0.5%</v>
      </c>
      <c r="Z13" s="195"/>
      <c r="AA13" s="194" t="str">
        <f t="shared" si="14"/>
        <v>0.6%</v>
      </c>
      <c r="AB13" s="195"/>
    </row>
    <row r="14" spans="1:41" ht="18" customHeight="1" thickBot="1" x14ac:dyDescent="0.35">
      <c r="A14" s="208"/>
      <c r="B14" s="89">
        <v>10</v>
      </c>
      <c r="C14" s="33">
        <f>C11</f>
        <v>220</v>
      </c>
      <c r="D14" s="33">
        <f t="shared" si="15"/>
        <v>0.04</v>
      </c>
      <c r="E14" s="33">
        <f t="shared" si="0"/>
        <v>0.1</v>
      </c>
      <c r="F14" s="33">
        <f t="shared" si="1"/>
        <v>2.5532300000000001</v>
      </c>
      <c r="G14" s="33">
        <f t="shared" si="2"/>
        <v>-0.61512</v>
      </c>
      <c r="H14" s="33">
        <f t="shared" si="3"/>
        <v>-0.16403000000000001</v>
      </c>
      <c r="I14" s="6">
        <f t="shared" si="16"/>
        <v>3.0925774831195683</v>
      </c>
      <c r="J14" s="33">
        <f t="shared" si="4"/>
        <v>0.3</v>
      </c>
      <c r="K14" s="33">
        <f t="shared" si="5"/>
        <v>2.4653200000000002</v>
      </c>
      <c r="L14" s="33">
        <f t="shared" si="6"/>
        <v>-0.62256999999999996</v>
      </c>
      <c r="M14" s="33">
        <f t="shared" si="7"/>
        <v>-0.11656999999999999</v>
      </c>
      <c r="N14" s="6">
        <f t="shared" si="17"/>
        <v>3.1078301894561453</v>
      </c>
      <c r="O14" s="33">
        <f t="shared" si="8"/>
        <v>1.9679944181608442</v>
      </c>
      <c r="P14" s="34">
        <f>O14*A11*$P$6</f>
        <v>1.8892746414344104</v>
      </c>
      <c r="Q14" s="198" t="str">
        <f t="shared" si="9"/>
        <v>0.7%</v>
      </c>
      <c r="R14" s="199"/>
      <c r="S14" s="198" t="str">
        <f t="shared" si="10"/>
        <v>1%</v>
      </c>
      <c r="T14" s="199"/>
      <c r="U14" s="198" t="str">
        <f t="shared" si="11"/>
        <v>1.3%</v>
      </c>
      <c r="V14" s="199"/>
      <c r="W14" s="198" t="str">
        <f t="shared" si="12"/>
        <v>0.3%</v>
      </c>
      <c r="X14" s="199"/>
      <c r="Y14" s="198" t="str">
        <f t="shared" si="13"/>
        <v>0.5%</v>
      </c>
      <c r="Z14" s="199"/>
      <c r="AA14" s="198" t="str">
        <f t="shared" si="14"/>
        <v>0.6%</v>
      </c>
      <c r="AB14" s="199"/>
    </row>
    <row r="15" spans="1:41" ht="18" customHeight="1" x14ac:dyDescent="0.3">
      <c r="A15" s="206">
        <v>1</v>
      </c>
      <c r="B15" s="90">
        <v>4</v>
      </c>
      <c r="C15" s="35">
        <f>ROUND(1.5*SQRT(A15*43560)/10,0)*10</f>
        <v>310</v>
      </c>
      <c r="D15" s="35">
        <f t="shared" si="15"/>
        <v>6.9999999999999993E-2</v>
      </c>
      <c r="E15" s="35">
        <f t="shared" si="0"/>
        <v>0.1</v>
      </c>
      <c r="F15" s="35">
        <f t="shared" si="1"/>
        <v>2.5532300000000001</v>
      </c>
      <c r="G15" s="35">
        <f t="shared" si="2"/>
        <v>-0.61512</v>
      </c>
      <c r="H15" s="35">
        <f t="shared" si="3"/>
        <v>-0.16403000000000001</v>
      </c>
      <c r="I15" s="36">
        <f t="shared" si="16"/>
        <v>3.0448503195729733</v>
      </c>
      <c r="J15" s="35">
        <f t="shared" si="4"/>
        <v>0.3</v>
      </c>
      <c r="K15" s="35">
        <f t="shared" si="5"/>
        <v>2.4653200000000002</v>
      </c>
      <c r="L15" s="35">
        <f t="shared" si="6"/>
        <v>-0.62256999999999996</v>
      </c>
      <c r="M15" s="35">
        <f t="shared" si="7"/>
        <v>-0.11656999999999999</v>
      </c>
      <c r="N15" s="36">
        <f t="shared" si="17"/>
        <v>3.0288464177493788</v>
      </c>
      <c r="O15" s="35">
        <f t="shared" si="8"/>
        <v>1.7008593222227677</v>
      </c>
      <c r="P15" s="37">
        <f>O15*A15*$P$6</f>
        <v>3.2656498986677138</v>
      </c>
      <c r="Q15" s="196" t="str">
        <f t="shared" si="9"/>
        <v>0.2%</v>
      </c>
      <c r="R15" s="197"/>
      <c r="S15" s="196" t="str">
        <f t="shared" si="10"/>
        <v>0.4%</v>
      </c>
      <c r="T15" s="197"/>
      <c r="U15" s="196" t="str">
        <f t="shared" si="11"/>
        <v>0.5%</v>
      </c>
      <c r="V15" s="197"/>
      <c r="W15" s="196" t="str">
        <f t="shared" si="12"/>
        <v>-</v>
      </c>
      <c r="X15" s="197"/>
      <c r="Y15" s="196" t="str">
        <f t="shared" si="13"/>
        <v>0.2%</v>
      </c>
      <c r="Z15" s="197"/>
      <c r="AA15" s="196" t="str">
        <f t="shared" si="14"/>
        <v>0.2%</v>
      </c>
      <c r="AB15" s="197"/>
    </row>
    <row r="16" spans="1:41" ht="18" customHeight="1" x14ac:dyDescent="0.3">
      <c r="A16" s="207"/>
      <c r="B16" s="91">
        <v>6</v>
      </c>
      <c r="C16" s="14">
        <f>C15</f>
        <v>310</v>
      </c>
      <c r="D16" s="14">
        <f t="shared" si="15"/>
        <v>6.0000000000000005E-2</v>
      </c>
      <c r="E16" s="14">
        <f t="shared" si="0"/>
        <v>0.1</v>
      </c>
      <c r="F16" s="14">
        <f t="shared" si="1"/>
        <v>2.5532300000000001</v>
      </c>
      <c r="G16" s="14">
        <f t="shared" si="2"/>
        <v>-0.61512</v>
      </c>
      <c r="H16" s="14">
        <f t="shared" si="3"/>
        <v>-0.16403000000000001</v>
      </c>
      <c r="I16" s="2">
        <f t="shared" si="16"/>
        <v>3.0599308592550001</v>
      </c>
      <c r="J16" s="14">
        <f t="shared" si="4"/>
        <v>0.3</v>
      </c>
      <c r="K16" s="14">
        <f t="shared" si="5"/>
        <v>2.4653200000000002</v>
      </c>
      <c r="L16" s="14">
        <f t="shared" si="6"/>
        <v>-0.62256999999999996</v>
      </c>
      <c r="M16" s="14">
        <f t="shared" si="7"/>
        <v>-0.11656999999999999</v>
      </c>
      <c r="N16" s="2">
        <f t="shared" si="17"/>
        <v>3.05197734829457</v>
      </c>
      <c r="O16" s="14">
        <f t="shared" si="8"/>
        <v>1.7773547933831988</v>
      </c>
      <c r="P16" s="29">
        <f>O16*A15*$P$6</f>
        <v>3.4125212032957415</v>
      </c>
      <c r="Q16" s="194" t="str">
        <f t="shared" si="9"/>
        <v>0.2%</v>
      </c>
      <c r="R16" s="195"/>
      <c r="S16" s="194" t="str">
        <f t="shared" si="10"/>
        <v>0.4%</v>
      </c>
      <c r="T16" s="195"/>
      <c r="U16" s="194" t="str">
        <f t="shared" si="11"/>
        <v>0.5%</v>
      </c>
      <c r="V16" s="195"/>
      <c r="W16" s="194" t="str">
        <f t="shared" si="12"/>
        <v>-</v>
      </c>
      <c r="X16" s="195"/>
      <c r="Y16" s="194" t="str">
        <f t="shared" si="13"/>
        <v>0.2%</v>
      </c>
      <c r="Z16" s="195"/>
      <c r="AA16" s="194" t="str">
        <f t="shared" si="14"/>
        <v>0.2%</v>
      </c>
      <c r="AB16" s="195"/>
    </row>
    <row r="17" spans="1:28" ht="18" customHeight="1" x14ac:dyDescent="0.3">
      <c r="A17" s="207"/>
      <c r="B17" s="91">
        <v>8</v>
      </c>
      <c r="C17" s="14">
        <f>C15</f>
        <v>310</v>
      </c>
      <c r="D17" s="14">
        <f t="shared" si="15"/>
        <v>0.05</v>
      </c>
      <c r="E17" s="14">
        <f t="shared" si="0"/>
        <v>0.1</v>
      </c>
      <c r="F17" s="14">
        <f t="shared" si="1"/>
        <v>2.5532300000000001</v>
      </c>
      <c r="G17" s="14">
        <f t="shared" si="2"/>
        <v>-0.61512</v>
      </c>
      <c r="H17" s="14">
        <f t="shared" si="3"/>
        <v>-0.16403000000000001</v>
      </c>
      <c r="I17" s="2">
        <f t="shared" si="16"/>
        <v>3.0758694264240831</v>
      </c>
      <c r="J17" s="14">
        <f t="shared" si="4"/>
        <v>0.3</v>
      </c>
      <c r="K17" s="14">
        <f t="shared" si="5"/>
        <v>2.4653200000000002</v>
      </c>
      <c r="L17" s="14">
        <f t="shared" si="6"/>
        <v>-0.62256999999999996</v>
      </c>
      <c r="M17" s="14">
        <f t="shared" si="7"/>
        <v>-0.11656999999999999</v>
      </c>
      <c r="N17" s="2">
        <f t="shared" si="17"/>
        <v>3.0779866475866227</v>
      </c>
      <c r="O17" s="14">
        <f t="shared" si="8"/>
        <v>1.8652973061391553</v>
      </c>
      <c r="P17" s="29">
        <f>O17*A15*$P$6</f>
        <v>3.5813708277871781</v>
      </c>
      <c r="Q17" s="194" t="str">
        <f t="shared" si="9"/>
        <v>0.2%</v>
      </c>
      <c r="R17" s="195"/>
      <c r="S17" s="194" t="str">
        <f t="shared" si="10"/>
        <v>0.4%</v>
      </c>
      <c r="T17" s="195"/>
      <c r="U17" s="194" t="str">
        <f t="shared" si="11"/>
        <v>0.5%</v>
      </c>
      <c r="V17" s="195"/>
      <c r="W17" s="194" t="str">
        <f t="shared" si="12"/>
        <v>-</v>
      </c>
      <c r="X17" s="195"/>
      <c r="Y17" s="194" t="str">
        <f t="shared" si="13"/>
        <v>0.2%</v>
      </c>
      <c r="Z17" s="195"/>
      <c r="AA17" s="194" t="str">
        <f t="shared" si="14"/>
        <v>0.2%</v>
      </c>
      <c r="AB17" s="195"/>
    </row>
    <row r="18" spans="1:28" ht="18" customHeight="1" thickBot="1" x14ac:dyDescent="0.35">
      <c r="A18" s="208"/>
      <c r="B18" s="92">
        <v>10</v>
      </c>
      <c r="C18" s="33">
        <f>C15</f>
        <v>310</v>
      </c>
      <c r="D18" s="33">
        <f t="shared" si="15"/>
        <v>0.05</v>
      </c>
      <c r="E18" s="33">
        <f t="shared" si="0"/>
        <v>0.1</v>
      </c>
      <c r="F18" s="33">
        <f t="shared" si="1"/>
        <v>2.5532300000000001</v>
      </c>
      <c r="G18" s="33">
        <f t="shared" si="2"/>
        <v>-0.61512</v>
      </c>
      <c r="H18" s="33">
        <f t="shared" si="3"/>
        <v>-0.16403000000000001</v>
      </c>
      <c r="I18" s="6">
        <f t="shared" si="16"/>
        <v>3.0758694264240831</v>
      </c>
      <c r="J18" s="33">
        <f t="shared" si="4"/>
        <v>0.3</v>
      </c>
      <c r="K18" s="33">
        <f t="shared" si="5"/>
        <v>2.4653200000000002</v>
      </c>
      <c r="L18" s="33">
        <f t="shared" si="6"/>
        <v>-0.62256999999999996</v>
      </c>
      <c r="M18" s="33">
        <f t="shared" si="7"/>
        <v>-0.11656999999999999</v>
      </c>
      <c r="N18" s="6">
        <f t="shared" si="17"/>
        <v>3.0779866475866227</v>
      </c>
      <c r="O18" s="33">
        <f t="shared" si="8"/>
        <v>1.8652973061391553</v>
      </c>
      <c r="P18" s="34">
        <f>O18*A15*$P$6</f>
        <v>3.5813708277871781</v>
      </c>
      <c r="Q18" s="198" t="str">
        <f t="shared" si="9"/>
        <v>0.2%</v>
      </c>
      <c r="R18" s="199"/>
      <c r="S18" s="198" t="str">
        <f t="shared" si="10"/>
        <v>0.4%</v>
      </c>
      <c r="T18" s="199"/>
      <c r="U18" s="198" t="str">
        <f t="shared" si="11"/>
        <v>0.5%</v>
      </c>
      <c r="V18" s="199"/>
      <c r="W18" s="198" t="str">
        <f t="shared" si="12"/>
        <v>-</v>
      </c>
      <c r="X18" s="199"/>
      <c r="Y18" s="198" t="str">
        <f t="shared" si="13"/>
        <v>0.2%</v>
      </c>
      <c r="Z18" s="199"/>
      <c r="AA18" s="198" t="str">
        <f t="shared" si="14"/>
        <v>0.2%</v>
      </c>
      <c r="AB18" s="199"/>
    </row>
    <row r="19" spans="1:28" ht="18" customHeight="1" x14ac:dyDescent="0.3">
      <c r="A19" s="206">
        <v>2</v>
      </c>
      <c r="B19" s="90">
        <v>4</v>
      </c>
      <c r="C19" s="35">
        <f>ROUND(1.5*SQRT(A19*43560)/10,0)*10</f>
        <v>440</v>
      </c>
      <c r="D19" s="35">
        <f t="shared" si="15"/>
        <v>9.9999999999999992E-2</v>
      </c>
      <c r="E19" s="35">
        <f t="shared" si="0"/>
        <v>0.1</v>
      </c>
      <c r="F19" s="35">
        <f t="shared" si="1"/>
        <v>2.5532300000000001</v>
      </c>
      <c r="G19" s="35">
        <f t="shared" si="2"/>
        <v>-0.61512</v>
      </c>
      <c r="H19" s="35">
        <f t="shared" si="3"/>
        <v>-0.16403000000000001</v>
      </c>
      <c r="I19" s="36">
        <f t="shared" si="16"/>
        <v>3.0043200000000003</v>
      </c>
      <c r="J19" s="35">
        <f t="shared" si="4"/>
        <v>0.3</v>
      </c>
      <c r="K19" s="35">
        <f t="shared" si="5"/>
        <v>2.4653200000000002</v>
      </c>
      <c r="L19" s="35">
        <f t="shared" si="6"/>
        <v>-0.62256999999999996</v>
      </c>
      <c r="M19" s="35">
        <f t="shared" si="7"/>
        <v>-0.11656999999999999</v>
      </c>
      <c r="N19" s="36">
        <f t="shared" si="17"/>
        <v>2.9713200000000004</v>
      </c>
      <c r="O19" s="35">
        <f t="shared" si="8"/>
        <v>1.5192877145768793</v>
      </c>
      <c r="P19" s="37">
        <f>O19*A19*$P$6</f>
        <v>5.8340648239752166</v>
      </c>
      <c r="Q19" s="196" t="str">
        <f t="shared" si="9"/>
        <v>-</v>
      </c>
      <c r="R19" s="197"/>
      <c r="S19" s="196" t="str">
        <f t="shared" si="10"/>
        <v>0.2%</v>
      </c>
      <c r="T19" s="197"/>
      <c r="U19" s="196" t="str">
        <f t="shared" si="11"/>
        <v>0.3%</v>
      </c>
      <c r="V19" s="197"/>
      <c r="W19" s="196" t="str">
        <f t="shared" si="12"/>
        <v>-</v>
      </c>
      <c r="X19" s="197"/>
      <c r="Y19" s="196" t="str">
        <f t="shared" si="13"/>
        <v>-</v>
      </c>
      <c r="Z19" s="197"/>
      <c r="AA19" s="196" t="str">
        <f t="shared" si="14"/>
        <v>-</v>
      </c>
      <c r="AB19" s="197"/>
    </row>
    <row r="20" spans="1:28" ht="18" customHeight="1" x14ac:dyDescent="0.3">
      <c r="A20" s="207"/>
      <c r="B20" s="91">
        <v>6</v>
      </c>
      <c r="C20" s="14">
        <f>C19</f>
        <v>440</v>
      </c>
      <c r="D20" s="14">
        <f t="shared" si="15"/>
        <v>0.08</v>
      </c>
      <c r="E20" s="14">
        <f t="shared" si="0"/>
        <v>0.1</v>
      </c>
      <c r="F20" s="14">
        <f t="shared" si="1"/>
        <v>2.5532300000000001</v>
      </c>
      <c r="G20" s="14">
        <f t="shared" si="2"/>
        <v>-0.61512</v>
      </c>
      <c r="H20" s="14">
        <f t="shared" si="3"/>
        <v>-0.16403000000000001</v>
      </c>
      <c r="I20" s="2">
        <f t="shared" si="16"/>
        <v>3.0305984922856934</v>
      </c>
      <c r="J20" s="14">
        <f t="shared" si="4"/>
        <v>0.3</v>
      </c>
      <c r="K20" s="14">
        <f t="shared" si="5"/>
        <v>2.4653200000000002</v>
      </c>
      <c r="L20" s="14">
        <f t="shared" si="6"/>
        <v>-0.62256999999999996</v>
      </c>
      <c r="M20" s="14">
        <f t="shared" si="7"/>
        <v>-0.11656999999999999</v>
      </c>
      <c r="N20" s="2">
        <f t="shared" si="17"/>
        <v>3.0079648933098118</v>
      </c>
      <c r="O20" s="14">
        <f t="shared" si="8"/>
        <v>1.6334344799518139</v>
      </c>
      <c r="P20" s="29">
        <f>O20*A19*$P$6</f>
        <v>6.2723884030149648</v>
      </c>
      <c r="Q20" s="194" t="str">
        <f t="shared" si="9"/>
        <v>-</v>
      </c>
      <c r="R20" s="195"/>
      <c r="S20" s="194" t="str">
        <f t="shared" si="10"/>
        <v>0.2%</v>
      </c>
      <c r="T20" s="195"/>
      <c r="U20" s="194" t="str">
        <f t="shared" si="11"/>
        <v>0.2%</v>
      </c>
      <c r="V20" s="195"/>
      <c r="W20" s="194" t="str">
        <f t="shared" si="12"/>
        <v>-</v>
      </c>
      <c r="X20" s="195"/>
      <c r="Y20" s="194" t="str">
        <f t="shared" si="13"/>
        <v>-</v>
      </c>
      <c r="Z20" s="195"/>
      <c r="AA20" s="194" t="str">
        <f t="shared" si="14"/>
        <v>-</v>
      </c>
      <c r="AB20" s="195"/>
    </row>
    <row r="21" spans="1:28" ht="18" customHeight="1" x14ac:dyDescent="0.3">
      <c r="A21" s="207"/>
      <c r="B21" s="91">
        <v>8</v>
      </c>
      <c r="C21" s="14">
        <f>C19</f>
        <v>440</v>
      </c>
      <c r="D21" s="14">
        <f t="shared" si="15"/>
        <v>6.9999999999999993E-2</v>
      </c>
      <c r="E21" s="14">
        <f t="shared" si="0"/>
        <v>0.1</v>
      </c>
      <c r="F21" s="14">
        <f t="shared" si="1"/>
        <v>2.5532300000000001</v>
      </c>
      <c r="G21" s="14">
        <f t="shared" si="2"/>
        <v>-0.61512</v>
      </c>
      <c r="H21" s="14">
        <f t="shared" si="3"/>
        <v>-0.16403000000000001</v>
      </c>
      <c r="I21" s="2">
        <f t="shared" si="16"/>
        <v>3.0448503195729733</v>
      </c>
      <c r="J21" s="14">
        <f t="shared" si="4"/>
        <v>0.3</v>
      </c>
      <c r="K21" s="14">
        <f t="shared" si="5"/>
        <v>2.4653200000000002</v>
      </c>
      <c r="L21" s="14">
        <f t="shared" si="6"/>
        <v>-0.62256999999999996</v>
      </c>
      <c r="M21" s="14">
        <f t="shared" si="7"/>
        <v>-0.11656999999999999</v>
      </c>
      <c r="N21" s="2">
        <f t="shared" si="17"/>
        <v>3.0288464177493788</v>
      </c>
      <c r="O21" s="14">
        <f t="shared" si="8"/>
        <v>1.7008593222227677</v>
      </c>
      <c r="P21" s="29">
        <f>O21*A19*$P$6</f>
        <v>6.5312997973354276</v>
      </c>
      <c r="Q21" s="194" t="str">
        <f t="shared" si="9"/>
        <v>-</v>
      </c>
      <c r="R21" s="195"/>
      <c r="S21" s="194" t="str">
        <f t="shared" si="10"/>
        <v>0.2%</v>
      </c>
      <c r="T21" s="195"/>
      <c r="U21" s="194" t="str">
        <f t="shared" si="11"/>
        <v>0.2%</v>
      </c>
      <c r="V21" s="195"/>
      <c r="W21" s="194" t="str">
        <f t="shared" si="12"/>
        <v>-</v>
      </c>
      <c r="X21" s="195"/>
      <c r="Y21" s="194" t="str">
        <f t="shared" si="13"/>
        <v>-</v>
      </c>
      <c r="Z21" s="195"/>
      <c r="AA21" s="194" t="str">
        <f t="shared" si="14"/>
        <v>-</v>
      </c>
      <c r="AB21" s="195"/>
    </row>
    <row r="22" spans="1:28" ht="18" customHeight="1" thickBot="1" x14ac:dyDescent="0.35">
      <c r="A22" s="208"/>
      <c r="B22" s="92">
        <v>10</v>
      </c>
      <c r="C22" s="33">
        <f>C19</f>
        <v>440</v>
      </c>
      <c r="D22" s="33">
        <f t="shared" si="15"/>
        <v>6.0000000000000005E-2</v>
      </c>
      <c r="E22" s="33">
        <f t="shared" si="0"/>
        <v>0.1</v>
      </c>
      <c r="F22" s="33">
        <f t="shared" si="1"/>
        <v>2.5532300000000001</v>
      </c>
      <c r="G22" s="33">
        <f t="shared" si="2"/>
        <v>-0.61512</v>
      </c>
      <c r="H22" s="33">
        <f t="shared" si="3"/>
        <v>-0.16403000000000001</v>
      </c>
      <c r="I22" s="6">
        <f t="shared" si="16"/>
        <v>3.0599308592550001</v>
      </c>
      <c r="J22" s="33">
        <f t="shared" si="4"/>
        <v>0.3</v>
      </c>
      <c r="K22" s="33">
        <f t="shared" si="5"/>
        <v>2.4653200000000002</v>
      </c>
      <c r="L22" s="33">
        <f t="shared" si="6"/>
        <v>-0.62256999999999996</v>
      </c>
      <c r="M22" s="33">
        <f t="shared" si="7"/>
        <v>-0.11656999999999999</v>
      </c>
      <c r="N22" s="6">
        <f t="shared" si="17"/>
        <v>3.05197734829457</v>
      </c>
      <c r="O22" s="33">
        <f t="shared" si="8"/>
        <v>1.7773547933831988</v>
      </c>
      <c r="P22" s="34">
        <f>O22*A19*$P$6</f>
        <v>6.825042406591483</v>
      </c>
      <c r="Q22" s="198" t="str">
        <f t="shared" si="9"/>
        <v>-</v>
      </c>
      <c r="R22" s="199"/>
      <c r="S22" s="198" t="str">
        <f t="shared" si="10"/>
        <v>0.2%</v>
      </c>
      <c r="T22" s="199"/>
      <c r="U22" s="198" t="str">
        <f t="shared" si="11"/>
        <v>0.2%</v>
      </c>
      <c r="V22" s="199"/>
      <c r="W22" s="198" t="str">
        <f t="shared" si="12"/>
        <v>-</v>
      </c>
      <c r="X22" s="199"/>
      <c r="Y22" s="198" t="str">
        <f t="shared" si="13"/>
        <v>-</v>
      </c>
      <c r="Z22" s="199"/>
      <c r="AA22" s="198" t="str">
        <f t="shared" si="14"/>
        <v>-</v>
      </c>
      <c r="AB22" s="199"/>
    </row>
    <row r="23" spans="1:28" ht="18" customHeight="1" x14ac:dyDescent="0.3">
      <c r="A23" s="206">
        <v>3</v>
      </c>
      <c r="B23" s="90">
        <v>4</v>
      </c>
      <c r="C23" s="35">
        <f>ROUND(1.5*SQRT(A23*43560)/10,0)*10</f>
        <v>540</v>
      </c>
      <c r="D23" s="35">
        <f t="shared" si="15"/>
        <v>0.11</v>
      </c>
      <c r="E23" s="35">
        <f t="shared" si="0"/>
        <v>0.1</v>
      </c>
      <c r="F23" s="35">
        <f t="shared" si="1"/>
        <v>2.5532300000000001</v>
      </c>
      <c r="G23" s="35">
        <f t="shared" si="2"/>
        <v>-0.61512</v>
      </c>
      <c r="H23" s="35">
        <f t="shared" si="3"/>
        <v>-0.16403000000000001</v>
      </c>
      <c r="I23" s="36">
        <f t="shared" si="16"/>
        <v>2.9921567742787727</v>
      </c>
      <c r="J23" s="35">
        <f t="shared" si="4"/>
        <v>0.3</v>
      </c>
      <c r="K23" s="35">
        <f t="shared" si="5"/>
        <v>2.4653200000000002</v>
      </c>
      <c r="L23" s="35">
        <f t="shared" si="6"/>
        <v>-0.62256999999999996</v>
      </c>
      <c r="M23" s="35">
        <f t="shared" si="7"/>
        <v>-0.11656999999999999</v>
      </c>
      <c r="N23" s="36">
        <f t="shared" si="17"/>
        <v>2.955000720898219</v>
      </c>
      <c r="O23" s="35">
        <f t="shared" si="8"/>
        <v>1.470275680095259</v>
      </c>
      <c r="P23" s="37">
        <f>O23*A23*$P$6</f>
        <v>8.468787917348692</v>
      </c>
      <c r="Q23" s="196" t="str">
        <f t="shared" si="9"/>
        <v>-</v>
      </c>
      <c r="R23" s="197"/>
      <c r="S23" s="196" t="str">
        <f t="shared" si="10"/>
        <v>-</v>
      </c>
      <c r="T23" s="197"/>
      <c r="U23" s="196" t="str">
        <f t="shared" si="11"/>
        <v>0.2%</v>
      </c>
      <c r="V23" s="197"/>
      <c r="W23" s="196" t="str">
        <f t="shared" si="12"/>
        <v>-</v>
      </c>
      <c r="X23" s="197"/>
      <c r="Y23" s="196" t="str">
        <f t="shared" si="13"/>
        <v>-</v>
      </c>
      <c r="Z23" s="197"/>
      <c r="AA23" s="223" t="str">
        <f t="shared" si="14"/>
        <v>-</v>
      </c>
      <c r="AB23" s="224"/>
    </row>
    <row r="24" spans="1:28" ht="18" customHeight="1" x14ac:dyDescent="0.3">
      <c r="A24" s="207"/>
      <c r="B24" s="91">
        <v>6</v>
      </c>
      <c r="C24" s="14">
        <f>C23</f>
        <v>540</v>
      </c>
      <c r="D24" s="14">
        <f t="shared" si="15"/>
        <v>0.09</v>
      </c>
      <c r="E24" s="14">
        <f t="shared" si="0"/>
        <v>0.1</v>
      </c>
      <c r="F24" s="14">
        <f t="shared" si="1"/>
        <v>2.5532300000000001</v>
      </c>
      <c r="G24" s="14">
        <f t="shared" si="2"/>
        <v>-0.61512</v>
      </c>
      <c r="H24" s="14">
        <f t="shared" si="3"/>
        <v>-0.16403000000000001</v>
      </c>
      <c r="I24" s="2">
        <f t="shared" si="16"/>
        <v>3.0171117077653538</v>
      </c>
      <c r="J24" s="14">
        <f t="shared" si="4"/>
        <v>0.3</v>
      </c>
      <c r="K24" s="14">
        <f t="shared" si="5"/>
        <v>2.4653200000000002</v>
      </c>
      <c r="L24" s="14">
        <f t="shared" si="6"/>
        <v>-0.62256999999999996</v>
      </c>
      <c r="M24" s="14">
        <f t="shared" si="7"/>
        <v>-0.11656999999999999</v>
      </c>
      <c r="N24" s="2">
        <f t="shared" si="17"/>
        <v>2.9888952713513972</v>
      </c>
      <c r="O24" s="14">
        <f t="shared" si="8"/>
        <v>1.5733433743521876</v>
      </c>
      <c r="P24" s="29">
        <f>O24*A23*$P$6</f>
        <v>9.0624578362685995</v>
      </c>
      <c r="Q24" s="194" t="str">
        <f t="shared" si="9"/>
        <v>-</v>
      </c>
      <c r="R24" s="195"/>
      <c r="S24" s="194" t="str">
        <f t="shared" si="10"/>
        <v>-</v>
      </c>
      <c r="T24" s="195"/>
      <c r="U24" s="194" t="str">
        <f t="shared" si="11"/>
        <v>0.2%</v>
      </c>
      <c r="V24" s="195"/>
      <c r="W24" s="194" t="str">
        <f t="shared" si="12"/>
        <v>-</v>
      </c>
      <c r="X24" s="195"/>
      <c r="Y24" s="194" t="str">
        <f t="shared" si="13"/>
        <v>-</v>
      </c>
      <c r="Z24" s="195"/>
      <c r="AA24" s="194" t="str">
        <f t="shared" si="14"/>
        <v>-</v>
      </c>
      <c r="AB24" s="195"/>
    </row>
    <row r="25" spans="1:28" ht="18" customHeight="1" x14ac:dyDescent="0.3">
      <c r="A25" s="207"/>
      <c r="B25" s="91">
        <v>8</v>
      </c>
      <c r="C25" s="14">
        <f>C23</f>
        <v>540</v>
      </c>
      <c r="D25" s="14">
        <f t="shared" si="15"/>
        <v>0.08</v>
      </c>
      <c r="E25" s="14">
        <f t="shared" si="0"/>
        <v>0.1</v>
      </c>
      <c r="F25" s="14">
        <f t="shared" si="1"/>
        <v>2.5532300000000001</v>
      </c>
      <c r="G25" s="14">
        <f t="shared" si="2"/>
        <v>-0.61512</v>
      </c>
      <c r="H25" s="14">
        <f t="shared" si="3"/>
        <v>-0.16403000000000001</v>
      </c>
      <c r="I25" s="2">
        <f t="shared" si="16"/>
        <v>3.0305984922856934</v>
      </c>
      <c r="J25" s="14">
        <f t="shared" si="4"/>
        <v>0.3</v>
      </c>
      <c r="K25" s="14">
        <f t="shared" si="5"/>
        <v>2.4653200000000002</v>
      </c>
      <c r="L25" s="14">
        <f t="shared" si="6"/>
        <v>-0.62256999999999996</v>
      </c>
      <c r="M25" s="14">
        <f t="shared" si="7"/>
        <v>-0.11656999999999999</v>
      </c>
      <c r="N25" s="2">
        <f t="shared" si="17"/>
        <v>3.0079648933098118</v>
      </c>
      <c r="O25" s="14">
        <f t="shared" si="8"/>
        <v>1.6334344799518139</v>
      </c>
      <c r="P25" s="29">
        <f>O25*A23*$P$6</f>
        <v>9.408582604522449</v>
      </c>
      <c r="Q25" s="194" t="str">
        <f t="shared" si="9"/>
        <v>-</v>
      </c>
      <c r="R25" s="195"/>
      <c r="S25" s="194" t="str">
        <f t="shared" si="10"/>
        <v>-</v>
      </c>
      <c r="T25" s="195"/>
      <c r="U25" s="194" t="str">
        <f t="shared" si="11"/>
        <v>0.2%</v>
      </c>
      <c r="V25" s="195"/>
      <c r="W25" s="194" t="str">
        <f t="shared" si="12"/>
        <v>-</v>
      </c>
      <c r="X25" s="195"/>
      <c r="Y25" s="194" t="str">
        <f t="shared" si="13"/>
        <v>-</v>
      </c>
      <c r="Z25" s="195"/>
      <c r="AA25" s="194" t="str">
        <f t="shared" si="14"/>
        <v>-</v>
      </c>
      <c r="AB25" s="195"/>
    </row>
    <row r="26" spans="1:28" ht="18" customHeight="1" thickBot="1" x14ac:dyDescent="0.35">
      <c r="A26" s="208"/>
      <c r="B26" s="92">
        <v>10</v>
      </c>
      <c r="C26" s="33">
        <f>C23</f>
        <v>540</v>
      </c>
      <c r="D26" s="33">
        <f t="shared" si="15"/>
        <v>6.9999999999999993E-2</v>
      </c>
      <c r="E26" s="33">
        <f t="shared" si="0"/>
        <v>0.1</v>
      </c>
      <c r="F26" s="33">
        <f t="shared" si="1"/>
        <v>2.5532300000000001</v>
      </c>
      <c r="G26" s="33">
        <f t="shared" si="2"/>
        <v>-0.61512</v>
      </c>
      <c r="H26" s="33">
        <f t="shared" si="3"/>
        <v>-0.16403000000000001</v>
      </c>
      <c r="I26" s="6">
        <f t="shared" si="16"/>
        <v>3.0448503195729733</v>
      </c>
      <c r="J26" s="33">
        <f t="shared" si="4"/>
        <v>0.3</v>
      </c>
      <c r="K26" s="33">
        <f t="shared" si="5"/>
        <v>2.4653200000000002</v>
      </c>
      <c r="L26" s="33">
        <f t="shared" si="6"/>
        <v>-0.62256999999999996</v>
      </c>
      <c r="M26" s="33">
        <f t="shared" si="7"/>
        <v>-0.11656999999999999</v>
      </c>
      <c r="N26" s="6">
        <f t="shared" si="17"/>
        <v>3.0288464177493788</v>
      </c>
      <c r="O26" s="33">
        <f t="shared" si="8"/>
        <v>1.7008593222227677</v>
      </c>
      <c r="P26" s="34">
        <f>O26*A23*$P$6</f>
        <v>9.796949696003141</v>
      </c>
      <c r="Q26" s="198" t="str">
        <f t="shared" si="9"/>
        <v>-</v>
      </c>
      <c r="R26" s="199"/>
      <c r="S26" s="198" t="str">
        <f t="shared" si="10"/>
        <v>-</v>
      </c>
      <c r="T26" s="199"/>
      <c r="U26" s="198" t="str">
        <f t="shared" si="11"/>
        <v>0.2%</v>
      </c>
      <c r="V26" s="199"/>
      <c r="W26" s="198" t="str">
        <f t="shared" si="12"/>
        <v>-</v>
      </c>
      <c r="X26" s="199"/>
      <c r="Y26" s="198" t="str">
        <f t="shared" si="13"/>
        <v>-</v>
      </c>
      <c r="Z26" s="199"/>
      <c r="AA26" s="198" t="str">
        <f t="shared" si="14"/>
        <v>-</v>
      </c>
      <c r="AB26" s="199"/>
    </row>
    <row r="27" spans="1:28" ht="18" customHeight="1" x14ac:dyDescent="0.3">
      <c r="A27" s="206">
        <v>4</v>
      </c>
      <c r="B27" s="90">
        <v>4</v>
      </c>
      <c r="C27" s="35">
        <f>ROUND(1.5*SQRT(A27*43560)/10,0)*10</f>
        <v>630</v>
      </c>
      <c r="D27" s="35">
        <f t="shared" si="15"/>
        <v>0.13</v>
      </c>
      <c r="E27" s="35">
        <f t="shared" si="0"/>
        <v>0.1</v>
      </c>
      <c r="F27" s="35">
        <f t="shared" si="1"/>
        <v>2.5532300000000001</v>
      </c>
      <c r="G27" s="35">
        <f t="shared" si="2"/>
        <v>-0.61512</v>
      </c>
      <c r="H27" s="35">
        <f t="shared" si="3"/>
        <v>-0.16403000000000001</v>
      </c>
      <c r="I27" s="36">
        <f t="shared" si="16"/>
        <v>2.9694818054384466</v>
      </c>
      <c r="J27" s="35">
        <f t="shared" si="4"/>
        <v>0.3</v>
      </c>
      <c r="K27" s="35">
        <f t="shared" si="5"/>
        <v>2.4653200000000002</v>
      </c>
      <c r="L27" s="35">
        <f t="shared" si="6"/>
        <v>-0.62256999999999996</v>
      </c>
      <c r="M27" s="35">
        <f t="shared" si="7"/>
        <v>-0.11656999999999999</v>
      </c>
      <c r="N27" s="36">
        <f t="shared" si="17"/>
        <v>2.9254336017972031</v>
      </c>
      <c r="O27" s="35">
        <f t="shared" si="8"/>
        <v>1.3844514472646661</v>
      </c>
      <c r="P27" s="37">
        <f>O27*A27*$P$6</f>
        <v>10.632587114992635</v>
      </c>
      <c r="Q27" s="196" t="str">
        <f t="shared" si="9"/>
        <v>-</v>
      </c>
      <c r="R27" s="197"/>
      <c r="S27" s="196" t="str">
        <f t="shared" si="10"/>
        <v>-</v>
      </c>
      <c r="T27" s="197"/>
      <c r="U27" s="196" t="str">
        <f t="shared" si="11"/>
        <v>-</v>
      </c>
      <c r="V27" s="197"/>
      <c r="W27" s="196" t="str">
        <f t="shared" si="12"/>
        <v>-</v>
      </c>
      <c r="X27" s="197"/>
      <c r="Y27" s="196" t="str">
        <f t="shared" si="13"/>
        <v>-</v>
      </c>
      <c r="Z27" s="197"/>
      <c r="AA27" s="223" t="str">
        <f t="shared" si="14"/>
        <v>-</v>
      </c>
      <c r="AB27" s="224"/>
    </row>
    <row r="28" spans="1:28" ht="18" customHeight="1" x14ac:dyDescent="0.3">
      <c r="A28" s="207"/>
      <c r="B28" s="91">
        <v>6</v>
      </c>
      <c r="C28" s="14">
        <f>C27</f>
        <v>630</v>
      </c>
      <c r="D28" s="14">
        <f t="shared" si="15"/>
        <v>0.11</v>
      </c>
      <c r="E28" s="14">
        <f t="shared" si="0"/>
        <v>0.1</v>
      </c>
      <c r="F28" s="14">
        <f t="shared" si="1"/>
        <v>2.5532300000000001</v>
      </c>
      <c r="G28" s="14">
        <f t="shared" si="2"/>
        <v>-0.61512</v>
      </c>
      <c r="H28" s="14">
        <f t="shared" si="3"/>
        <v>-0.16403000000000001</v>
      </c>
      <c r="I28" s="2">
        <f t="shared" si="16"/>
        <v>2.9921567742787727</v>
      </c>
      <c r="J28" s="14">
        <f t="shared" si="4"/>
        <v>0.3</v>
      </c>
      <c r="K28" s="14">
        <f t="shared" si="5"/>
        <v>2.4653200000000002</v>
      </c>
      <c r="L28" s="14">
        <f t="shared" si="6"/>
        <v>-0.62256999999999996</v>
      </c>
      <c r="M28" s="14">
        <f t="shared" si="7"/>
        <v>-0.11656999999999999</v>
      </c>
      <c r="N28" s="2">
        <f t="shared" si="17"/>
        <v>2.955000720898219</v>
      </c>
      <c r="O28" s="14">
        <f t="shared" si="8"/>
        <v>1.470275680095259</v>
      </c>
      <c r="P28" s="29">
        <f>O28*A27*$P$6</f>
        <v>11.291717223131588</v>
      </c>
      <c r="Q28" s="194" t="str">
        <f t="shared" si="9"/>
        <v>-</v>
      </c>
      <c r="R28" s="195"/>
      <c r="S28" s="194" t="str">
        <f t="shared" si="10"/>
        <v>-</v>
      </c>
      <c r="T28" s="195"/>
      <c r="U28" s="194" t="str">
        <f t="shared" si="11"/>
        <v>-</v>
      </c>
      <c r="V28" s="195"/>
      <c r="W28" s="194" t="str">
        <f t="shared" si="12"/>
        <v>-</v>
      </c>
      <c r="X28" s="195"/>
      <c r="Y28" s="194" t="str">
        <f t="shared" si="13"/>
        <v>-</v>
      </c>
      <c r="Z28" s="195"/>
      <c r="AA28" s="194" t="str">
        <f t="shared" si="14"/>
        <v>-</v>
      </c>
      <c r="AB28" s="195"/>
    </row>
    <row r="29" spans="1:28" ht="18" customHeight="1" x14ac:dyDescent="0.3">
      <c r="A29" s="207"/>
      <c r="B29" s="91">
        <v>8</v>
      </c>
      <c r="C29" s="14">
        <f>C27</f>
        <v>630</v>
      </c>
      <c r="D29" s="14">
        <f t="shared" si="15"/>
        <v>0.09</v>
      </c>
      <c r="E29" s="14">
        <f t="shared" si="0"/>
        <v>0.1</v>
      </c>
      <c r="F29" s="14">
        <f t="shared" si="1"/>
        <v>2.5532300000000001</v>
      </c>
      <c r="G29" s="14">
        <f t="shared" si="2"/>
        <v>-0.61512</v>
      </c>
      <c r="H29" s="14">
        <f t="shared" si="3"/>
        <v>-0.16403000000000001</v>
      </c>
      <c r="I29" s="2">
        <f t="shared" si="16"/>
        <v>3.0171117077653538</v>
      </c>
      <c r="J29" s="14">
        <f t="shared" si="4"/>
        <v>0.3</v>
      </c>
      <c r="K29" s="14">
        <f t="shared" si="5"/>
        <v>2.4653200000000002</v>
      </c>
      <c r="L29" s="14">
        <f t="shared" si="6"/>
        <v>-0.62256999999999996</v>
      </c>
      <c r="M29" s="14">
        <f t="shared" si="7"/>
        <v>-0.11656999999999999</v>
      </c>
      <c r="N29" s="2">
        <f t="shared" si="17"/>
        <v>2.9888952713513972</v>
      </c>
      <c r="O29" s="14">
        <f t="shared" si="8"/>
        <v>1.5733433743521876</v>
      </c>
      <c r="P29" s="29">
        <f>O29*A27*$P$6</f>
        <v>12.083277115024801</v>
      </c>
      <c r="Q29" s="194" t="str">
        <f t="shared" si="9"/>
        <v>-</v>
      </c>
      <c r="R29" s="195"/>
      <c r="S29" s="194" t="str">
        <f t="shared" si="10"/>
        <v>-</v>
      </c>
      <c r="T29" s="195"/>
      <c r="U29" s="194" t="str">
        <f t="shared" si="11"/>
        <v>-</v>
      </c>
      <c r="V29" s="195"/>
      <c r="W29" s="194" t="str">
        <f t="shared" si="12"/>
        <v>-</v>
      </c>
      <c r="X29" s="195"/>
      <c r="Y29" s="194" t="str">
        <f t="shared" si="13"/>
        <v>-</v>
      </c>
      <c r="Z29" s="195"/>
      <c r="AA29" s="194" t="str">
        <f t="shared" si="14"/>
        <v>-</v>
      </c>
      <c r="AB29" s="195"/>
    </row>
    <row r="30" spans="1:28" ht="18" customHeight="1" thickBot="1" x14ac:dyDescent="0.35">
      <c r="A30" s="208"/>
      <c r="B30" s="92">
        <v>10</v>
      </c>
      <c r="C30" s="33">
        <f>C27</f>
        <v>630</v>
      </c>
      <c r="D30" s="33">
        <f t="shared" si="15"/>
        <v>0.08</v>
      </c>
      <c r="E30" s="33">
        <f t="shared" si="0"/>
        <v>0.1</v>
      </c>
      <c r="F30" s="33">
        <f t="shared" si="1"/>
        <v>2.5532300000000001</v>
      </c>
      <c r="G30" s="33">
        <f t="shared" si="2"/>
        <v>-0.61512</v>
      </c>
      <c r="H30" s="33">
        <f t="shared" si="3"/>
        <v>-0.16403000000000001</v>
      </c>
      <c r="I30" s="6">
        <f t="shared" si="16"/>
        <v>3.0305984922856934</v>
      </c>
      <c r="J30" s="33">
        <f t="shared" si="4"/>
        <v>0.3</v>
      </c>
      <c r="K30" s="33">
        <f t="shared" si="5"/>
        <v>2.4653200000000002</v>
      </c>
      <c r="L30" s="33">
        <f t="shared" si="6"/>
        <v>-0.62256999999999996</v>
      </c>
      <c r="M30" s="33">
        <f t="shared" si="7"/>
        <v>-0.11656999999999999</v>
      </c>
      <c r="N30" s="6">
        <f t="shared" si="17"/>
        <v>3.0079648933098118</v>
      </c>
      <c r="O30" s="33">
        <f t="shared" si="8"/>
        <v>1.6334344799518139</v>
      </c>
      <c r="P30" s="34">
        <f>O30*A27*$P$6</f>
        <v>12.54477680602993</v>
      </c>
      <c r="Q30" s="198" t="str">
        <f t="shared" si="9"/>
        <v>-</v>
      </c>
      <c r="R30" s="199"/>
      <c r="S30" s="198" t="str">
        <f t="shared" si="10"/>
        <v>-</v>
      </c>
      <c r="T30" s="199"/>
      <c r="U30" s="198" t="str">
        <f t="shared" si="11"/>
        <v>-</v>
      </c>
      <c r="V30" s="199"/>
      <c r="W30" s="198" t="str">
        <f t="shared" si="12"/>
        <v>-</v>
      </c>
      <c r="X30" s="199"/>
      <c r="Y30" s="198" t="str">
        <f t="shared" si="13"/>
        <v>-</v>
      </c>
      <c r="Z30" s="199"/>
      <c r="AA30" s="198" t="str">
        <f t="shared" si="14"/>
        <v>-</v>
      </c>
      <c r="AB30" s="199"/>
    </row>
    <row r="31" spans="1:28" ht="18" customHeight="1" x14ac:dyDescent="0.3">
      <c r="A31" s="207">
        <v>5</v>
      </c>
      <c r="B31" s="93">
        <v>4</v>
      </c>
      <c r="C31" s="14">
        <f>ROUND(1.5*SQRT(A31*43560)/10,0)*10</f>
        <v>700</v>
      </c>
      <c r="D31" s="14">
        <f t="shared" si="15"/>
        <v>0.14000000000000001</v>
      </c>
      <c r="E31" s="14">
        <f t="shared" si="0"/>
        <v>0.1</v>
      </c>
      <c r="F31" s="14">
        <f t="shared" si="1"/>
        <v>2.5532300000000001</v>
      </c>
      <c r="G31" s="14">
        <f t="shared" si="2"/>
        <v>-0.61512</v>
      </c>
      <c r="H31" s="14">
        <f t="shared" si="3"/>
        <v>-0.16403000000000001</v>
      </c>
      <c r="I31" s="31">
        <f t="shared" si="16"/>
        <v>2.9588698874150872</v>
      </c>
      <c r="J31" s="14">
        <f t="shared" si="4"/>
        <v>0.3</v>
      </c>
      <c r="K31" s="14">
        <f t="shared" si="5"/>
        <v>2.4653200000000002</v>
      </c>
      <c r="L31" s="14">
        <f t="shared" si="6"/>
        <v>-0.62256999999999996</v>
      </c>
      <c r="M31" s="14">
        <f t="shared" si="7"/>
        <v>-0.11656999999999999</v>
      </c>
      <c r="N31" s="31">
        <f t="shared" si="17"/>
        <v>2.9119241929001247</v>
      </c>
      <c r="O31" s="14">
        <f t="shared" si="8"/>
        <v>1.3465332011439939</v>
      </c>
      <c r="P31" s="32">
        <f>O31*A31*$P$6</f>
        <v>12.926718730982341</v>
      </c>
      <c r="Q31" s="196" t="str">
        <f t="shared" si="9"/>
        <v>-</v>
      </c>
      <c r="R31" s="197"/>
      <c r="S31" s="196" t="str">
        <f t="shared" si="10"/>
        <v>-</v>
      </c>
      <c r="T31" s="197"/>
      <c r="U31" s="196" t="str">
        <f t="shared" si="11"/>
        <v>-</v>
      </c>
      <c r="V31" s="197"/>
      <c r="W31" s="196" t="str">
        <f t="shared" si="12"/>
        <v>-</v>
      </c>
      <c r="X31" s="197"/>
      <c r="Y31" s="196" t="str">
        <f t="shared" si="13"/>
        <v>-</v>
      </c>
      <c r="Z31" s="197"/>
      <c r="AA31" s="223" t="str">
        <f t="shared" si="14"/>
        <v>-</v>
      </c>
      <c r="AB31" s="224"/>
    </row>
    <row r="32" spans="1:28" ht="18" customHeight="1" x14ac:dyDescent="0.3">
      <c r="A32" s="207"/>
      <c r="B32" s="91">
        <v>6</v>
      </c>
      <c r="C32" s="14">
        <f>C31</f>
        <v>700</v>
      </c>
      <c r="D32" s="14">
        <f t="shared" si="15"/>
        <v>0.11</v>
      </c>
      <c r="E32" s="14">
        <f t="shared" si="0"/>
        <v>0.1</v>
      </c>
      <c r="F32" s="14">
        <f t="shared" si="1"/>
        <v>2.5532300000000001</v>
      </c>
      <c r="G32" s="14">
        <f t="shared" si="2"/>
        <v>-0.61512</v>
      </c>
      <c r="H32" s="14">
        <f t="shared" si="3"/>
        <v>-0.16403000000000001</v>
      </c>
      <c r="I32" s="2">
        <f t="shared" si="16"/>
        <v>2.9921567742787727</v>
      </c>
      <c r="J32" s="14">
        <f t="shared" si="4"/>
        <v>0.3</v>
      </c>
      <c r="K32" s="14">
        <f t="shared" si="5"/>
        <v>2.4653200000000002</v>
      </c>
      <c r="L32" s="14">
        <f t="shared" si="6"/>
        <v>-0.62256999999999996</v>
      </c>
      <c r="M32" s="14">
        <f t="shared" si="7"/>
        <v>-0.11656999999999999</v>
      </c>
      <c r="N32" s="2">
        <f t="shared" si="17"/>
        <v>2.955000720898219</v>
      </c>
      <c r="O32" s="14">
        <f t="shared" si="8"/>
        <v>1.470275680095259</v>
      </c>
      <c r="P32" s="29">
        <f>O32*A31*$P$6</f>
        <v>14.114646528914486</v>
      </c>
      <c r="Q32" s="194" t="str">
        <f t="shared" si="9"/>
        <v>-</v>
      </c>
      <c r="R32" s="195"/>
      <c r="S32" s="194" t="str">
        <f t="shared" si="10"/>
        <v>-</v>
      </c>
      <c r="T32" s="195"/>
      <c r="U32" s="194" t="str">
        <f t="shared" si="11"/>
        <v>-</v>
      </c>
      <c r="V32" s="195"/>
      <c r="W32" s="194" t="str">
        <f t="shared" si="12"/>
        <v>-</v>
      </c>
      <c r="X32" s="195"/>
      <c r="Y32" s="194" t="str">
        <f t="shared" si="13"/>
        <v>-</v>
      </c>
      <c r="Z32" s="195"/>
      <c r="AA32" s="194" t="str">
        <f t="shared" si="14"/>
        <v>-</v>
      </c>
      <c r="AB32" s="195"/>
    </row>
    <row r="33" spans="1:28" ht="18" customHeight="1" x14ac:dyDescent="0.3">
      <c r="A33" s="207"/>
      <c r="B33" s="91">
        <v>8</v>
      </c>
      <c r="C33" s="14">
        <f>C31</f>
        <v>700</v>
      </c>
      <c r="D33" s="14">
        <f t="shared" si="15"/>
        <v>9.9999999999999992E-2</v>
      </c>
      <c r="E33" s="14">
        <f t="shared" si="0"/>
        <v>0.1</v>
      </c>
      <c r="F33" s="14">
        <f t="shared" si="1"/>
        <v>2.5532300000000001</v>
      </c>
      <c r="G33" s="14">
        <f t="shared" si="2"/>
        <v>-0.61512</v>
      </c>
      <c r="H33" s="14">
        <f t="shared" si="3"/>
        <v>-0.16403000000000001</v>
      </c>
      <c r="I33" s="2">
        <f t="shared" si="16"/>
        <v>3.0043200000000003</v>
      </c>
      <c r="J33" s="14">
        <f t="shared" si="4"/>
        <v>0.3</v>
      </c>
      <c r="K33" s="14">
        <f t="shared" si="5"/>
        <v>2.4653200000000002</v>
      </c>
      <c r="L33" s="14">
        <f t="shared" si="6"/>
        <v>-0.62256999999999996</v>
      </c>
      <c r="M33" s="14">
        <f t="shared" si="7"/>
        <v>-0.11656999999999999</v>
      </c>
      <c r="N33" s="2">
        <f t="shared" si="17"/>
        <v>2.9713200000000004</v>
      </c>
      <c r="O33" s="14">
        <f t="shared" si="8"/>
        <v>1.5192877145768793</v>
      </c>
      <c r="P33" s="29">
        <f>O33*A31*$P$6</f>
        <v>14.585162059938041</v>
      </c>
      <c r="Q33" s="194" t="str">
        <f t="shared" si="9"/>
        <v>-</v>
      </c>
      <c r="R33" s="195"/>
      <c r="S33" s="194" t="str">
        <f t="shared" si="10"/>
        <v>-</v>
      </c>
      <c r="T33" s="195"/>
      <c r="U33" s="194" t="str">
        <f t="shared" si="11"/>
        <v>-</v>
      </c>
      <c r="V33" s="195"/>
      <c r="W33" s="194" t="str">
        <f t="shared" si="12"/>
        <v>-</v>
      </c>
      <c r="X33" s="195"/>
      <c r="Y33" s="194" t="str">
        <f t="shared" si="13"/>
        <v>-</v>
      </c>
      <c r="Z33" s="195"/>
      <c r="AA33" s="225" t="str">
        <f t="shared" si="14"/>
        <v>-</v>
      </c>
      <c r="AB33" s="226"/>
    </row>
    <row r="34" spans="1:28" ht="18" customHeight="1" x14ac:dyDescent="0.3">
      <c r="A34" s="209"/>
      <c r="B34" s="91">
        <v>10</v>
      </c>
      <c r="C34" s="14">
        <f>C31</f>
        <v>700</v>
      </c>
      <c r="D34" s="14">
        <f t="shared" si="15"/>
        <v>0.09</v>
      </c>
      <c r="E34" s="14">
        <f t="shared" si="0"/>
        <v>0.1</v>
      </c>
      <c r="F34" s="14">
        <f t="shared" si="1"/>
        <v>2.5532300000000001</v>
      </c>
      <c r="G34" s="14">
        <f t="shared" si="2"/>
        <v>-0.61512</v>
      </c>
      <c r="H34" s="14">
        <f t="shared" si="3"/>
        <v>-0.16403000000000001</v>
      </c>
      <c r="I34" s="2">
        <f t="shared" si="16"/>
        <v>3.0171117077653538</v>
      </c>
      <c r="J34" s="14">
        <f t="shared" si="4"/>
        <v>0.3</v>
      </c>
      <c r="K34" s="14">
        <f t="shared" si="5"/>
        <v>2.4653200000000002</v>
      </c>
      <c r="L34" s="14">
        <f t="shared" si="6"/>
        <v>-0.62256999999999996</v>
      </c>
      <c r="M34" s="14">
        <f t="shared" si="7"/>
        <v>-0.11656999999999999</v>
      </c>
      <c r="N34" s="2">
        <f t="shared" si="17"/>
        <v>2.9888952713513972</v>
      </c>
      <c r="O34" s="14">
        <f t="shared" si="8"/>
        <v>1.5733433743521876</v>
      </c>
      <c r="P34" s="29">
        <f>O34*A31*$P$6</f>
        <v>15.104096393781001</v>
      </c>
      <c r="Q34" s="194" t="str">
        <f t="shared" si="9"/>
        <v>-</v>
      </c>
      <c r="R34" s="195"/>
      <c r="S34" s="194" t="str">
        <f t="shared" si="10"/>
        <v>-</v>
      </c>
      <c r="T34" s="195"/>
      <c r="U34" s="194" t="str">
        <f t="shared" si="11"/>
        <v>-</v>
      </c>
      <c r="V34" s="195"/>
      <c r="W34" s="194" t="str">
        <f t="shared" si="12"/>
        <v>-</v>
      </c>
      <c r="X34" s="195"/>
      <c r="Y34" s="194" t="str">
        <f t="shared" si="13"/>
        <v>-</v>
      </c>
      <c r="Z34" s="195"/>
      <c r="AA34" s="194" t="str">
        <f t="shared" si="14"/>
        <v>-</v>
      </c>
      <c r="AB34" s="195"/>
    </row>
    <row r="35" spans="1:28" ht="9.75" customHeight="1" x14ac:dyDescent="0.3"/>
    <row r="36" spans="1:28" x14ac:dyDescent="0.3">
      <c r="A36" s="7" t="s">
        <v>48</v>
      </c>
      <c r="Q36" s="9"/>
      <c r="R36" s="9"/>
    </row>
    <row r="37" spans="1:28" x14ac:dyDescent="0.3">
      <c r="A37" s="7" t="s">
        <v>50</v>
      </c>
      <c r="Q37" s="3"/>
      <c r="R37" s="3"/>
      <c r="S37" s="8"/>
      <c r="T37" s="8"/>
      <c r="U37" s="8"/>
      <c r="V37" s="8"/>
      <c r="W37" s="8"/>
      <c r="X37" s="8"/>
    </row>
    <row r="38" spans="1:28" x14ac:dyDescent="0.3">
      <c r="A38" s="7" t="s">
        <v>49</v>
      </c>
    </row>
    <row r="39" spans="1:28" x14ac:dyDescent="0.3">
      <c r="A39" s="7" t="s">
        <v>30</v>
      </c>
    </row>
    <row r="40" spans="1:28" ht="7.5" customHeight="1" x14ac:dyDescent="0.3"/>
    <row r="41" spans="1:28" ht="16.2" x14ac:dyDescent="0.3">
      <c r="A41" s="7" t="s">
        <v>25</v>
      </c>
    </row>
  </sheetData>
  <sheetProtection algorithmName="SHA-512" hashValue="7X6iM+IlJVQl1hoI9bJ76YK/OesF60xiU6EsGMZ/GqMRb+dL650RPeBR1fqYZc6vT4BBBtO3n8W8MXJueA/Oag==" saltValue="l8iEKoVzh72xYVFYvfSMRw==" spinCount="100000" sheet="1" objects="1" scenarios="1" selectLockedCells="1"/>
  <mergeCells count="180">
    <mergeCell ref="Y34:Z34"/>
    <mergeCell ref="AA11:AB11"/>
    <mergeCell ref="AA12:AB12"/>
    <mergeCell ref="AA13:AB13"/>
    <mergeCell ref="AA14:AB14"/>
    <mergeCell ref="AA15:AB15"/>
    <mergeCell ref="AA16:AB16"/>
    <mergeCell ref="AA17:AB17"/>
    <mergeCell ref="AA18:AB18"/>
    <mergeCell ref="AA19:AB19"/>
    <mergeCell ref="AA20:AB20"/>
    <mergeCell ref="AA21:AB21"/>
    <mergeCell ref="AA22:AB22"/>
    <mergeCell ref="Y26:Z26"/>
    <mergeCell ref="Y27:Z27"/>
    <mergeCell ref="Y28:Z28"/>
    <mergeCell ref="Y29:Z29"/>
    <mergeCell ref="Y30:Z30"/>
    <mergeCell ref="AA31:AB31"/>
    <mergeCell ref="AA32:AB32"/>
    <mergeCell ref="AA33:AB33"/>
    <mergeCell ref="AA34:AB34"/>
    <mergeCell ref="AA26:AB26"/>
    <mergeCell ref="AA27:AB27"/>
    <mergeCell ref="W24:X24"/>
    <mergeCell ref="W25:X25"/>
    <mergeCell ref="W26:X26"/>
    <mergeCell ref="AA23:AB23"/>
    <mergeCell ref="AA24:AB24"/>
    <mergeCell ref="AA25:AB25"/>
    <mergeCell ref="Y31:Z31"/>
    <mergeCell ref="Y32:Z32"/>
    <mergeCell ref="Y33:Z33"/>
    <mergeCell ref="AA28:AB28"/>
    <mergeCell ref="AA29:AB29"/>
    <mergeCell ref="AA30:AB30"/>
    <mergeCell ref="W16:X16"/>
    <mergeCell ref="W17:X17"/>
    <mergeCell ref="W18:X18"/>
    <mergeCell ref="W34:X34"/>
    <mergeCell ref="Y11:Z11"/>
    <mergeCell ref="Y12:Z12"/>
    <mergeCell ref="Y13:Z13"/>
    <mergeCell ref="Y14:Z14"/>
    <mergeCell ref="Y15:Z15"/>
    <mergeCell ref="Y16:Z16"/>
    <mergeCell ref="Y17:Z17"/>
    <mergeCell ref="Y18:Z18"/>
    <mergeCell ref="Y19:Z19"/>
    <mergeCell ref="Y20:Z20"/>
    <mergeCell ref="Y21:Z21"/>
    <mergeCell ref="Y22:Z22"/>
    <mergeCell ref="Y23:Z23"/>
    <mergeCell ref="Y24:Z24"/>
    <mergeCell ref="Y25:Z25"/>
    <mergeCell ref="W29:X29"/>
    <mergeCell ref="W30:X30"/>
    <mergeCell ref="W31:X31"/>
    <mergeCell ref="W32:X32"/>
    <mergeCell ref="W33:X33"/>
    <mergeCell ref="U33:V33"/>
    <mergeCell ref="U34:V34"/>
    <mergeCell ref="U25:V25"/>
    <mergeCell ref="U26:V26"/>
    <mergeCell ref="U27:V27"/>
    <mergeCell ref="U28:V28"/>
    <mergeCell ref="U29:V29"/>
    <mergeCell ref="W27:X27"/>
    <mergeCell ref="W28:X28"/>
    <mergeCell ref="U24:V24"/>
    <mergeCell ref="U15:V15"/>
    <mergeCell ref="U16:V16"/>
    <mergeCell ref="U17:V17"/>
    <mergeCell ref="U18:V18"/>
    <mergeCell ref="U19:V19"/>
    <mergeCell ref="U30:V30"/>
    <mergeCell ref="U31:V31"/>
    <mergeCell ref="U32:V32"/>
    <mergeCell ref="Q33:R33"/>
    <mergeCell ref="Q34:R34"/>
    <mergeCell ref="Q25:R25"/>
    <mergeCell ref="Q26:R26"/>
    <mergeCell ref="Q27:R27"/>
    <mergeCell ref="Q28:R28"/>
    <mergeCell ref="Q29:R29"/>
    <mergeCell ref="S21:T21"/>
    <mergeCell ref="S22:T22"/>
    <mergeCell ref="S23:T23"/>
    <mergeCell ref="S24:T24"/>
    <mergeCell ref="S30:T30"/>
    <mergeCell ref="S31:T31"/>
    <mergeCell ref="S32:T32"/>
    <mergeCell ref="S33:T33"/>
    <mergeCell ref="S34:T34"/>
    <mergeCell ref="S25:T25"/>
    <mergeCell ref="S26:T26"/>
    <mergeCell ref="S27:T27"/>
    <mergeCell ref="S28:T28"/>
    <mergeCell ref="S29:T29"/>
    <mergeCell ref="Q24:R24"/>
    <mergeCell ref="Q15:R15"/>
    <mergeCell ref="Q16:R16"/>
    <mergeCell ref="Q17:R17"/>
    <mergeCell ref="Q18:R18"/>
    <mergeCell ref="Q19:R19"/>
    <mergeCell ref="Q30:R30"/>
    <mergeCell ref="Q31:R31"/>
    <mergeCell ref="Q32:R32"/>
    <mergeCell ref="S14:T14"/>
    <mergeCell ref="U11:V11"/>
    <mergeCell ref="U12:V12"/>
    <mergeCell ref="U13:V13"/>
    <mergeCell ref="U14:V14"/>
    <mergeCell ref="W10:X10"/>
    <mergeCell ref="Q21:R21"/>
    <mergeCell ref="Q22:R22"/>
    <mergeCell ref="Q23:R23"/>
    <mergeCell ref="S15:T15"/>
    <mergeCell ref="S16:T16"/>
    <mergeCell ref="S17:T17"/>
    <mergeCell ref="S18:T18"/>
    <mergeCell ref="S19:T19"/>
    <mergeCell ref="U21:V21"/>
    <mergeCell ref="U22:V22"/>
    <mergeCell ref="U23:V23"/>
    <mergeCell ref="W19:X19"/>
    <mergeCell ref="W20:X20"/>
    <mergeCell ref="W21:X21"/>
    <mergeCell ref="W22:X22"/>
    <mergeCell ref="W23:X23"/>
    <mergeCell ref="W14:X14"/>
    <mergeCell ref="W15:X15"/>
    <mergeCell ref="M9:M10"/>
    <mergeCell ref="N9:N10"/>
    <mergeCell ref="A31:A34"/>
    <mergeCell ref="A11:A14"/>
    <mergeCell ref="A15:A18"/>
    <mergeCell ref="A19:A22"/>
    <mergeCell ref="A23:A26"/>
    <mergeCell ref="A27:A30"/>
    <mergeCell ref="W11:X11"/>
    <mergeCell ref="W12:X12"/>
    <mergeCell ref="W13:X13"/>
    <mergeCell ref="Q11:R11"/>
    <mergeCell ref="Q10:R10"/>
    <mergeCell ref="Q12:R12"/>
    <mergeCell ref="S10:T10"/>
    <mergeCell ref="U10:V10"/>
    <mergeCell ref="Q20:R20"/>
    <mergeCell ref="S20:T20"/>
    <mergeCell ref="U20:V20"/>
    <mergeCell ref="Q13:R13"/>
    <mergeCell ref="Q14:R14"/>
    <mergeCell ref="S11:T11"/>
    <mergeCell ref="S12:T12"/>
    <mergeCell ref="S13:T13"/>
    <mergeCell ref="A1:AB1"/>
    <mergeCell ref="Q3:R3"/>
    <mergeCell ref="Q6:AB6"/>
    <mergeCell ref="A8:A9"/>
    <mergeCell ref="B8:B9"/>
    <mergeCell ref="P8:P9"/>
    <mergeCell ref="Q8:AB8"/>
    <mergeCell ref="Q9:V9"/>
    <mergeCell ref="W9:AB9"/>
    <mergeCell ref="C8:C9"/>
    <mergeCell ref="D8:D9"/>
    <mergeCell ref="E8:I8"/>
    <mergeCell ref="J8:N8"/>
    <mergeCell ref="O8:O9"/>
    <mergeCell ref="E9:E10"/>
    <mergeCell ref="F9:F10"/>
    <mergeCell ref="G9:G10"/>
    <mergeCell ref="H9:H10"/>
    <mergeCell ref="Y10:Z10"/>
    <mergeCell ref="AA10:AB10"/>
    <mergeCell ref="I9:I10"/>
    <mergeCell ref="J9:J10"/>
    <mergeCell ref="K9:K10"/>
    <mergeCell ref="L9:L10"/>
  </mergeCells>
  <dataValidations count="1">
    <dataValidation type="whole" allowBlank="1" showInputMessage="1" showErrorMessage="1" errorTitle="RCN Error" error="RCN must be a whole number between 40 and 95" sqref="P5" xr:uid="{00000000-0002-0000-0300-000000000000}">
      <formula1>40</formula1>
      <formula2>95</formula2>
    </dataValidation>
  </dataValidations>
  <pageMargins left="0.7" right="0.7" top="0.75" bottom="0.75" header="0.3" footer="0.3"/>
  <pageSetup scale="72" orientation="landscape" verticalDpi="0" r:id="rId1"/>
  <headerFooter>
    <oddHeader>&amp;LNRCS Nebraska&amp;R10/2016</oddHeader>
  </headerFooter>
  <rowBreaks count="1" manualBreakCount="1">
    <brk id="57" max="8"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County!$B$1:$E$1</xm:f>
          </x14:formula1>
          <xm:sqref>T3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41"/>
  <sheetViews>
    <sheetView showGridLines="0" showRowColHeaders="0" zoomScale="90" zoomScaleNormal="90" zoomScaleSheetLayoutView="102" workbookViewId="0">
      <selection activeCell="P5" sqref="P5"/>
    </sheetView>
  </sheetViews>
  <sheetFormatPr defaultRowHeight="14.4" x14ac:dyDescent="0.3"/>
  <cols>
    <col min="1" max="1" width="13.5546875" customWidth="1"/>
    <col min="2" max="2" width="19" customWidth="1"/>
    <col min="3" max="4" width="19" hidden="1" customWidth="1"/>
    <col min="5" max="14" width="5.6640625" hidden="1" customWidth="1"/>
    <col min="15" max="15" width="19" hidden="1" customWidth="1"/>
    <col min="16" max="16" width="14.44140625" customWidth="1"/>
    <col min="17" max="17" width="10.6640625" customWidth="1"/>
    <col min="18" max="18" width="8.33203125" customWidth="1"/>
    <col min="19" max="19" width="10.6640625" customWidth="1"/>
    <col min="20" max="20" width="8.33203125" customWidth="1"/>
    <col min="21" max="21" width="10.6640625" customWidth="1"/>
    <col min="22" max="22" width="8.33203125" customWidth="1"/>
    <col min="23" max="23" width="10.6640625" customWidth="1"/>
    <col min="24" max="24" width="8.33203125" customWidth="1"/>
    <col min="25" max="25" width="10.6640625" customWidth="1"/>
    <col min="26" max="26" width="8.33203125" customWidth="1"/>
    <col min="27" max="27" width="10.6640625" customWidth="1"/>
    <col min="28" max="28" width="8.33203125" customWidth="1"/>
  </cols>
  <sheetData>
    <row r="1" spans="1:41" ht="18" customHeight="1" x14ac:dyDescent="0.4">
      <c r="A1" s="211" t="s">
        <v>54</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row>
    <row r="2" spans="1:41" ht="13.5" customHeight="1" x14ac:dyDescent="0.3"/>
    <row r="3" spans="1:41" ht="18" customHeight="1" x14ac:dyDescent="0.3">
      <c r="B3" s="13" t="s">
        <v>57</v>
      </c>
      <c r="C3" s="13"/>
      <c r="D3" s="13"/>
      <c r="E3" s="13" t="s">
        <v>97</v>
      </c>
      <c r="F3" s="13">
        <f>MATCH(T3,County!B1:H1)</f>
        <v>2</v>
      </c>
      <c r="G3" s="13"/>
      <c r="H3" s="13"/>
      <c r="I3" s="13"/>
      <c r="J3" s="13"/>
      <c r="K3" s="13"/>
      <c r="L3" s="13"/>
      <c r="M3" s="13"/>
      <c r="N3" s="13"/>
      <c r="O3" s="13"/>
      <c r="P3" s="117" t="str">
        <f>'Field Worksheet'!B7</f>
        <v>PLATTE</v>
      </c>
      <c r="Q3" s="212">
        <f>VLOOKUP(P3,County!A2:H115,F3+1)</f>
        <v>2.83</v>
      </c>
      <c r="R3" s="213"/>
      <c r="S3" t="s">
        <v>95</v>
      </c>
      <c r="T3" s="39">
        <v>2</v>
      </c>
      <c r="U3" s="9" t="s">
        <v>96</v>
      </c>
      <c r="AO3" s="19" t="e">
        <f>VLOOKUP(P3,RainfallZones,3)</f>
        <v>#NAME?</v>
      </c>
    </row>
    <row r="4" spans="1:41" ht="18" customHeight="1" x14ac:dyDescent="0.3"/>
    <row r="5" spans="1:41" ht="18" customHeight="1" x14ac:dyDescent="0.3">
      <c r="B5" s="5" t="s">
        <v>16</v>
      </c>
      <c r="C5" s="5"/>
      <c r="E5" s="5" t="s">
        <v>86</v>
      </c>
      <c r="F5" s="8">
        <f>MIN(MAX(ROUNDUP(0.2*((1000/$P$5)-10)/$Q$3,2),0.1),0.5)</f>
        <v>0.1</v>
      </c>
      <c r="G5" s="5"/>
      <c r="H5" s="5"/>
      <c r="I5" s="5"/>
      <c r="J5" s="5"/>
      <c r="K5" s="5"/>
      <c r="L5" s="5"/>
      <c r="M5" s="5"/>
      <c r="N5" s="5"/>
      <c r="O5" s="5"/>
      <c r="P5" s="30">
        <v>90</v>
      </c>
      <c r="Q5" s="17" t="s">
        <v>24</v>
      </c>
    </row>
    <row r="6" spans="1:41" ht="18" customHeight="1" x14ac:dyDescent="0.3">
      <c r="B6" s="5"/>
      <c r="C6" s="5"/>
      <c r="D6" s="5"/>
      <c r="E6" s="5" t="s">
        <v>94</v>
      </c>
      <c r="F6" s="5"/>
      <c r="G6" s="5"/>
      <c r="H6" s="5"/>
      <c r="I6" s="5"/>
      <c r="J6" s="5" t="s">
        <v>93</v>
      </c>
      <c r="K6" s="5"/>
      <c r="L6" s="5"/>
      <c r="M6" s="5"/>
      <c r="N6" s="5"/>
      <c r="P6" s="2">
        <f>ROUNDUP(($Q$3-(0.2*(1000/$P$5-10)))^2/($Q$3+0.8*(1000/$P$5-10)),2)</f>
        <v>1.83</v>
      </c>
      <c r="Q6" s="214" t="s">
        <v>98</v>
      </c>
      <c r="R6" s="214"/>
      <c r="S6" s="214"/>
      <c r="T6" s="214"/>
      <c r="U6" s="214"/>
      <c r="V6" s="214"/>
      <c r="W6" s="214"/>
      <c r="X6" s="214"/>
      <c r="Y6" s="214"/>
      <c r="Z6" s="214"/>
      <c r="AA6" s="214"/>
      <c r="AB6" s="214"/>
    </row>
    <row r="7" spans="1:41" ht="18" customHeight="1" x14ac:dyDescent="0.3">
      <c r="E7" s="14">
        <f>IFERROR(MATCH(my_Iap,IaP_List,1),1)</f>
        <v>1</v>
      </c>
      <c r="J7">
        <f>IF(OR(my_Iap=0.1,my_Iap=0.5),Row_1,Row_1+1)</f>
        <v>2</v>
      </c>
      <c r="P7" s="10"/>
      <c r="Q7" s="9"/>
      <c r="R7" s="9"/>
    </row>
    <row r="8" spans="1:41" ht="18" customHeight="1" x14ac:dyDescent="0.3">
      <c r="A8" s="219" t="s">
        <v>17</v>
      </c>
      <c r="B8" s="217" t="s">
        <v>18</v>
      </c>
      <c r="C8" s="222" t="s">
        <v>80</v>
      </c>
      <c r="D8" s="222" t="s">
        <v>81</v>
      </c>
      <c r="E8" s="202" t="s">
        <v>94</v>
      </c>
      <c r="F8" s="202"/>
      <c r="G8" s="202"/>
      <c r="H8" s="202"/>
      <c r="I8" s="203"/>
      <c r="J8" s="202" t="s">
        <v>93</v>
      </c>
      <c r="K8" s="202"/>
      <c r="L8" s="202"/>
      <c r="M8" s="202"/>
      <c r="N8" s="203"/>
      <c r="O8" s="222" t="s">
        <v>83</v>
      </c>
      <c r="P8" s="215" t="s">
        <v>19</v>
      </c>
      <c r="Q8" s="221" t="s">
        <v>227</v>
      </c>
      <c r="R8" s="221"/>
      <c r="S8" s="221"/>
      <c r="T8" s="221"/>
      <c r="U8" s="221"/>
      <c r="V8" s="221"/>
      <c r="W8" s="221"/>
      <c r="X8" s="221"/>
      <c r="Y8" s="221"/>
      <c r="Z8" s="221"/>
      <c r="AA8" s="221"/>
      <c r="AB8" s="221"/>
    </row>
    <row r="9" spans="1:41" ht="18" customHeight="1" x14ac:dyDescent="0.3">
      <c r="A9" s="218"/>
      <c r="B9" s="218"/>
      <c r="C9" s="204"/>
      <c r="D9" s="204"/>
      <c r="E9" s="204" t="s">
        <v>91</v>
      </c>
      <c r="F9" s="204" t="s">
        <v>87</v>
      </c>
      <c r="G9" s="204" t="s">
        <v>88</v>
      </c>
      <c r="H9" s="204" t="s">
        <v>89</v>
      </c>
      <c r="I9" s="204" t="s">
        <v>92</v>
      </c>
      <c r="J9" s="204" t="s">
        <v>91</v>
      </c>
      <c r="K9" s="204" t="s">
        <v>87</v>
      </c>
      <c r="L9" s="204" t="s">
        <v>88</v>
      </c>
      <c r="M9" s="204" t="s">
        <v>89</v>
      </c>
      <c r="N9" s="204" t="s">
        <v>92</v>
      </c>
      <c r="O9" s="204"/>
      <c r="P9" s="216"/>
      <c r="Q9" s="220" t="s">
        <v>26</v>
      </c>
      <c r="R9" s="220"/>
      <c r="S9" s="220"/>
      <c r="T9" s="220"/>
      <c r="U9" s="220"/>
      <c r="V9" s="220"/>
      <c r="W9" s="220" t="s">
        <v>52</v>
      </c>
      <c r="X9" s="220"/>
      <c r="Y9" s="220"/>
      <c r="Z9" s="220"/>
      <c r="AA9" s="220"/>
      <c r="AB9" s="220"/>
    </row>
    <row r="10" spans="1:41" ht="18" customHeight="1" x14ac:dyDescent="0.3">
      <c r="A10" s="4" t="s">
        <v>13</v>
      </c>
      <c r="B10" s="4" t="s">
        <v>14</v>
      </c>
      <c r="C10" s="14" t="s">
        <v>79</v>
      </c>
      <c r="D10" s="14" t="s">
        <v>82</v>
      </c>
      <c r="E10" s="205"/>
      <c r="F10" s="205"/>
      <c r="G10" s="205"/>
      <c r="H10" s="205"/>
      <c r="I10" s="205"/>
      <c r="J10" s="205"/>
      <c r="K10" s="205"/>
      <c r="L10" s="205"/>
      <c r="M10" s="205"/>
      <c r="N10" s="205"/>
      <c r="O10" s="14" t="s">
        <v>84</v>
      </c>
      <c r="P10" s="14" t="s">
        <v>0</v>
      </c>
      <c r="Q10" s="200" t="s">
        <v>223</v>
      </c>
      <c r="R10" s="201"/>
      <c r="S10" s="200" t="s">
        <v>224</v>
      </c>
      <c r="T10" s="201"/>
      <c r="U10" s="200" t="s">
        <v>225</v>
      </c>
      <c r="V10" s="201"/>
      <c r="W10" s="200" t="s">
        <v>223</v>
      </c>
      <c r="X10" s="201"/>
      <c r="Y10" s="200" t="s">
        <v>224</v>
      </c>
      <c r="Z10" s="201"/>
      <c r="AA10" s="200" t="s">
        <v>225</v>
      </c>
      <c r="AB10" s="201"/>
    </row>
    <row r="11" spans="1:41" ht="18" customHeight="1" x14ac:dyDescent="0.3">
      <c r="A11" s="210">
        <v>0.5</v>
      </c>
      <c r="B11" s="87">
        <v>4</v>
      </c>
      <c r="C11" s="38">
        <f>ROUND(1.5*SQRT(A11*43560)/10,0)*10</f>
        <v>220</v>
      </c>
      <c r="D11" s="38">
        <f>ROUNDUP((C11^0.8)*(((1000/$P$5)-9)^0.7)/(1140*B11^0.5),2)</f>
        <v>6.0000000000000005E-2</v>
      </c>
      <c r="E11" s="38">
        <f t="shared" ref="E11:E34" si="0">INDEX(IaP_List,Row_1)</f>
        <v>0.1</v>
      </c>
      <c r="F11" s="38">
        <f t="shared" ref="F11:F34" si="1">INDEX(Coeff0_List,Row_1)</f>
        <v>2.5532300000000001</v>
      </c>
      <c r="G11" s="38">
        <f t="shared" ref="G11:G34" si="2">INDEX(Coeff1_List,Row_1)</f>
        <v>-0.61512</v>
      </c>
      <c r="H11" s="38">
        <f t="shared" ref="H11:H34" si="3">INDEX(Coeff2_List,Row_1)</f>
        <v>-0.16403000000000001</v>
      </c>
      <c r="I11" s="2">
        <f>F11+(G11*LOG($D11))+(H11*LOG($D11)^2)</f>
        <v>3.0599308592550001</v>
      </c>
      <c r="J11" s="38">
        <f t="shared" ref="J11:J34" si="4">INDEX(IaP_List,Row_2)</f>
        <v>0.3</v>
      </c>
      <c r="K11" s="38">
        <f t="shared" ref="K11:K34" si="5">INDEX(Coeff0_List,Row_2)</f>
        <v>2.4653200000000002</v>
      </c>
      <c r="L11" s="38">
        <f t="shared" ref="L11:L34" si="6">INDEX(Coeff1_List,Row_2)</f>
        <v>-0.62256999999999996</v>
      </c>
      <c r="M11" s="38">
        <f t="shared" ref="M11:M34" si="7">INDEX(Coeff2_List,Row_2)</f>
        <v>-0.11656999999999999</v>
      </c>
      <c r="N11" s="2">
        <f>K11+(L11*LOG($D11))+(M11*LOG($D11)^2)</f>
        <v>3.05197734829457</v>
      </c>
      <c r="O11" s="38">
        <f t="shared" ref="O11:O34" si="8">10^(IF(Row_1=Row_2,$I11,((N11-I11)*((E11-my_Iap)/(E11-J11))+I11)))/640</f>
        <v>1.7773547933831988</v>
      </c>
      <c r="P11" s="29">
        <f>O11*A11*$P$6</f>
        <v>1.6262796359456269</v>
      </c>
      <c r="Q11" s="194" t="str">
        <f t="shared" ref="Q11:Q34" si="9">IF(VLOOKUP($P11,ConvErosResBedS,2,TRUE)&gt;0,VLOOKUP($P11,ConvErosResBedS,2,TRUE)&amp;"%","-")</f>
        <v>2%</v>
      </c>
      <c r="R11" s="195"/>
      <c r="S11" s="194" t="str">
        <f t="shared" ref="S11:S34" si="10">IF(VLOOKUP($P11,ConvErosResBedS,4,TRUE)&gt;0,VLOOKUP($P11,ConvErosResBedS,4,TRUE)&amp;"%","-")</f>
        <v>2.8%</v>
      </c>
      <c r="T11" s="195"/>
      <c r="U11" s="194" t="str">
        <f t="shared" ref="U11:U34" si="11">IF(VLOOKUP($P11,ConvErosResBedS,6,TRUE)&gt;0,VLOOKUP($P11,ConvErosResBedS,6,TRUE)&amp;"%","-")</f>
        <v>3.5%</v>
      </c>
      <c r="V11" s="195"/>
      <c r="W11" s="194" t="str">
        <f t="shared" ref="W11:W34" si="12">IF(VLOOKUP($P11,ConvErodibleBedS,2,TRUE)&gt;0,VLOOKUP($P11,ConvErodibleBedS,2,TRUE)&amp;"%","-")</f>
        <v>0.9%</v>
      </c>
      <c r="X11" s="195"/>
      <c r="Y11" s="194" t="str">
        <f t="shared" ref="Y11:Y34" si="13">IF(VLOOKUP($P11,ConvErodibleBedS,4,TRUE)&gt;0,VLOOKUP($P11,ConvErodibleBedS,4,TRUE)&amp;"%","-")</f>
        <v>1.3%</v>
      </c>
      <c r="Z11" s="195"/>
      <c r="AA11" s="194" t="str">
        <f t="shared" ref="AA11:AA34" si="14">IF(VLOOKUP($P11,ConvErodibleBedS,6,TRUE)&gt;0,VLOOKUP($P11,ConvErodibleBedS,6,TRUE)&amp;"%","-")</f>
        <v>1.7%</v>
      </c>
      <c r="AB11" s="195"/>
    </row>
    <row r="12" spans="1:41" ht="18" customHeight="1" x14ac:dyDescent="0.3">
      <c r="A12" s="207"/>
      <c r="B12" s="88">
        <v>6</v>
      </c>
      <c r="C12" s="14">
        <f>C11</f>
        <v>220</v>
      </c>
      <c r="D12" s="14">
        <f t="shared" ref="D12:D34" si="15">ROUNDUP((C12^0.8)*(((1000/$P$5)-9)^0.7)/(1140*B12^0.5),2)</f>
        <v>0.05</v>
      </c>
      <c r="E12" s="14">
        <f t="shared" si="0"/>
        <v>0.1</v>
      </c>
      <c r="F12" s="14">
        <f t="shared" si="1"/>
        <v>2.5532300000000001</v>
      </c>
      <c r="G12" s="14">
        <f t="shared" si="2"/>
        <v>-0.61512</v>
      </c>
      <c r="H12" s="14">
        <f t="shared" si="3"/>
        <v>-0.16403000000000001</v>
      </c>
      <c r="I12" s="2">
        <f t="shared" ref="I12:I34" si="16">F12+(G12*LOG($D12))+(H12*LOG($D12)^2)</f>
        <v>3.0758694264240831</v>
      </c>
      <c r="J12" s="14">
        <f t="shared" si="4"/>
        <v>0.3</v>
      </c>
      <c r="K12" s="14">
        <f t="shared" si="5"/>
        <v>2.4653200000000002</v>
      </c>
      <c r="L12" s="14">
        <f t="shared" si="6"/>
        <v>-0.62256999999999996</v>
      </c>
      <c r="M12" s="14">
        <f t="shared" si="7"/>
        <v>-0.11656999999999999</v>
      </c>
      <c r="N12" s="2">
        <f t="shared" ref="N12:N34" si="17">K12+(L12*LOG($D12))+(M12*LOG($D12)^2)</f>
        <v>3.0779866475866227</v>
      </c>
      <c r="O12" s="14">
        <f t="shared" si="8"/>
        <v>1.8652973061391553</v>
      </c>
      <c r="P12" s="29">
        <f>O12*A11*$P$6</f>
        <v>1.7067470351173273</v>
      </c>
      <c r="Q12" s="194" t="str">
        <f t="shared" si="9"/>
        <v>2%</v>
      </c>
      <c r="R12" s="195"/>
      <c r="S12" s="194" t="str">
        <f t="shared" si="10"/>
        <v>2.8%</v>
      </c>
      <c r="T12" s="195"/>
      <c r="U12" s="194" t="str">
        <f t="shared" si="11"/>
        <v>3.5%</v>
      </c>
      <c r="V12" s="195"/>
      <c r="W12" s="194" t="str">
        <f t="shared" si="12"/>
        <v>0.9%</v>
      </c>
      <c r="X12" s="195"/>
      <c r="Y12" s="194" t="str">
        <f t="shared" si="13"/>
        <v>1.3%</v>
      </c>
      <c r="Z12" s="195"/>
      <c r="AA12" s="194" t="str">
        <f t="shared" si="14"/>
        <v>1.7%</v>
      </c>
      <c r="AB12" s="195"/>
    </row>
    <row r="13" spans="1:41" ht="18" customHeight="1" x14ac:dyDescent="0.3">
      <c r="A13" s="207"/>
      <c r="B13" s="88">
        <v>8</v>
      </c>
      <c r="C13" s="14">
        <f>C11</f>
        <v>220</v>
      </c>
      <c r="D13" s="14">
        <f t="shared" si="15"/>
        <v>0.04</v>
      </c>
      <c r="E13" s="14">
        <f t="shared" si="0"/>
        <v>0.1</v>
      </c>
      <c r="F13" s="14">
        <f t="shared" si="1"/>
        <v>2.5532300000000001</v>
      </c>
      <c r="G13" s="14">
        <f t="shared" si="2"/>
        <v>-0.61512</v>
      </c>
      <c r="H13" s="14">
        <f t="shared" si="3"/>
        <v>-0.16403000000000001</v>
      </c>
      <c r="I13" s="2">
        <f t="shared" si="16"/>
        <v>3.0925774831195683</v>
      </c>
      <c r="J13" s="14">
        <f t="shared" si="4"/>
        <v>0.3</v>
      </c>
      <c r="K13" s="14">
        <f t="shared" si="5"/>
        <v>2.4653200000000002</v>
      </c>
      <c r="L13" s="14">
        <f t="shared" si="6"/>
        <v>-0.62256999999999996</v>
      </c>
      <c r="M13" s="14">
        <f t="shared" si="7"/>
        <v>-0.11656999999999999</v>
      </c>
      <c r="N13" s="2">
        <f t="shared" si="17"/>
        <v>3.1078301894561453</v>
      </c>
      <c r="O13" s="14">
        <f t="shared" si="8"/>
        <v>1.9679944181608442</v>
      </c>
      <c r="P13" s="29">
        <f>O13*A11*$P$6</f>
        <v>1.8007148926171725</v>
      </c>
      <c r="Q13" s="194" t="str">
        <f t="shared" si="9"/>
        <v>2%</v>
      </c>
      <c r="R13" s="195"/>
      <c r="S13" s="194" t="str">
        <f t="shared" si="10"/>
        <v>2.8%</v>
      </c>
      <c r="T13" s="195"/>
      <c r="U13" s="194" t="str">
        <f t="shared" si="11"/>
        <v>3.5%</v>
      </c>
      <c r="V13" s="195"/>
      <c r="W13" s="194" t="str">
        <f t="shared" si="12"/>
        <v>0.9%</v>
      </c>
      <c r="X13" s="195"/>
      <c r="Y13" s="194" t="str">
        <f t="shared" si="13"/>
        <v>1.3%</v>
      </c>
      <c r="Z13" s="195"/>
      <c r="AA13" s="194" t="str">
        <f t="shared" si="14"/>
        <v>1.7%</v>
      </c>
      <c r="AB13" s="195"/>
    </row>
    <row r="14" spans="1:41" ht="18" customHeight="1" thickBot="1" x14ac:dyDescent="0.35">
      <c r="A14" s="208"/>
      <c r="B14" s="89">
        <v>10</v>
      </c>
      <c r="C14" s="33">
        <f>C11</f>
        <v>220</v>
      </c>
      <c r="D14" s="33">
        <f t="shared" si="15"/>
        <v>0.04</v>
      </c>
      <c r="E14" s="33">
        <f t="shared" si="0"/>
        <v>0.1</v>
      </c>
      <c r="F14" s="33">
        <f t="shared" si="1"/>
        <v>2.5532300000000001</v>
      </c>
      <c r="G14" s="33">
        <f t="shared" si="2"/>
        <v>-0.61512</v>
      </c>
      <c r="H14" s="33">
        <f t="shared" si="3"/>
        <v>-0.16403000000000001</v>
      </c>
      <c r="I14" s="6">
        <f t="shared" si="16"/>
        <v>3.0925774831195683</v>
      </c>
      <c r="J14" s="33">
        <f t="shared" si="4"/>
        <v>0.3</v>
      </c>
      <c r="K14" s="33">
        <f t="shared" si="5"/>
        <v>2.4653200000000002</v>
      </c>
      <c r="L14" s="33">
        <f t="shared" si="6"/>
        <v>-0.62256999999999996</v>
      </c>
      <c r="M14" s="33">
        <f t="shared" si="7"/>
        <v>-0.11656999999999999</v>
      </c>
      <c r="N14" s="6">
        <f t="shared" si="17"/>
        <v>3.1078301894561453</v>
      </c>
      <c r="O14" s="33">
        <f t="shared" si="8"/>
        <v>1.9679944181608442</v>
      </c>
      <c r="P14" s="34">
        <f>O14*A11*$P$6</f>
        <v>1.8007148926171725</v>
      </c>
      <c r="Q14" s="198" t="str">
        <f t="shared" si="9"/>
        <v>2%</v>
      </c>
      <c r="R14" s="199"/>
      <c r="S14" s="198" t="str">
        <f t="shared" si="10"/>
        <v>2.8%</v>
      </c>
      <c r="T14" s="199"/>
      <c r="U14" s="198" t="str">
        <f t="shared" si="11"/>
        <v>3.5%</v>
      </c>
      <c r="V14" s="199"/>
      <c r="W14" s="198" t="str">
        <f t="shared" si="12"/>
        <v>0.9%</v>
      </c>
      <c r="X14" s="199"/>
      <c r="Y14" s="198" t="str">
        <f t="shared" si="13"/>
        <v>1.3%</v>
      </c>
      <c r="Z14" s="199"/>
      <c r="AA14" s="198" t="str">
        <f t="shared" si="14"/>
        <v>1.7%</v>
      </c>
      <c r="AB14" s="199"/>
    </row>
    <row r="15" spans="1:41" ht="18" customHeight="1" x14ac:dyDescent="0.3">
      <c r="A15" s="206">
        <v>1</v>
      </c>
      <c r="B15" s="90">
        <v>4</v>
      </c>
      <c r="C15" s="35">
        <f>ROUND(1.5*SQRT(A15*43560)/10,0)*10</f>
        <v>310</v>
      </c>
      <c r="D15" s="35">
        <f t="shared" si="15"/>
        <v>0.08</v>
      </c>
      <c r="E15" s="35">
        <f t="shared" si="0"/>
        <v>0.1</v>
      </c>
      <c r="F15" s="35">
        <f t="shared" si="1"/>
        <v>2.5532300000000001</v>
      </c>
      <c r="G15" s="35">
        <f t="shared" si="2"/>
        <v>-0.61512</v>
      </c>
      <c r="H15" s="35">
        <f t="shared" si="3"/>
        <v>-0.16403000000000001</v>
      </c>
      <c r="I15" s="36">
        <f t="shared" si="16"/>
        <v>3.0305984922856934</v>
      </c>
      <c r="J15" s="35">
        <f t="shared" si="4"/>
        <v>0.3</v>
      </c>
      <c r="K15" s="35">
        <f t="shared" si="5"/>
        <v>2.4653200000000002</v>
      </c>
      <c r="L15" s="35">
        <f t="shared" si="6"/>
        <v>-0.62256999999999996</v>
      </c>
      <c r="M15" s="35">
        <f t="shared" si="7"/>
        <v>-0.11656999999999999</v>
      </c>
      <c r="N15" s="36">
        <f t="shared" si="17"/>
        <v>3.0079648933098118</v>
      </c>
      <c r="O15" s="35">
        <f t="shared" si="8"/>
        <v>1.6334344799518139</v>
      </c>
      <c r="P15" s="37">
        <f>O15*A15*$P$6</f>
        <v>2.9891850983118196</v>
      </c>
      <c r="Q15" s="196" t="str">
        <f t="shared" si="9"/>
        <v>1%</v>
      </c>
      <c r="R15" s="197"/>
      <c r="S15" s="196" t="str">
        <f t="shared" si="10"/>
        <v>1.5%</v>
      </c>
      <c r="T15" s="197"/>
      <c r="U15" s="196" t="str">
        <f t="shared" si="11"/>
        <v>1.9%</v>
      </c>
      <c r="V15" s="197"/>
      <c r="W15" s="196" t="str">
        <f t="shared" si="12"/>
        <v>0.5%</v>
      </c>
      <c r="X15" s="197"/>
      <c r="Y15" s="196" t="str">
        <f t="shared" si="13"/>
        <v>0.7%</v>
      </c>
      <c r="Z15" s="197"/>
      <c r="AA15" s="196" t="str">
        <f t="shared" si="14"/>
        <v>0.9%</v>
      </c>
      <c r="AB15" s="197"/>
    </row>
    <row r="16" spans="1:41" ht="18" customHeight="1" x14ac:dyDescent="0.3">
      <c r="A16" s="207"/>
      <c r="B16" s="91">
        <v>6</v>
      </c>
      <c r="C16" s="14">
        <f>C15</f>
        <v>310</v>
      </c>
      <c r="D16" s="14">
        <f t="shared" si="15"/>
        <v>6.0000000000000005E-2</v>
      </c>
      <c r="E16" s="14">
        <f t="shared" si="0"/>
        <v>0.1</v>
      </c>
      <c r="F16" s="14">
        <f t="shared" si="1"/>
        <v>2.5532300000000001</v>
      </c>
      <c r="G16" s="14">
        <f t="shared" si="2"/>
        <v>-0.61512</v>
      </c>
      <c r="H16" s="14">
        <f t="shared" si="3"/>
        <v>-0.16403000000000001</v>
      </c>
      <c r="I16" s="2">
        <f t="shared" si="16"/>
        <v>3.0599308592550001</v>
      </c>
      <c r="J16" s="14">
        <f t="shared" si="4"/>
        <v>0.3</v>
      </c>
      <c r="K16" s="14">
        <f t="shared" si="5"/>
        <v>2.4653200000000002</v>
      </c>
      <c r="L16" s="14">
        <f t="shared" si="6"/>
        <v>-0.62256999999999996</v>
      </c>
      <c r="M16" s="14">
        <f t="shared" si="7"/>
        <v>-0.11656999999999999</v>
      </c>
      <c r="N16" s="2">
        <f t="shared" si="17"/>
        <v>3.05197734829457</v>
      </c>
      <c r="O16" s="14">
        <f t="shared" si="8"/>
        <v>1.7773547933831988</v>
      </c>
      <c r="P16" s="29">
        <f>O16*A15*$P$6</f>
        <v>3.2525592718912537</v>
      </c>
      <c r="Q16" s="223" t="str">
        <f t="shared" si="9"/>
        <v>0.7%</v>
      </c>
      <c r="R16" s="224"/>
      <c r="S16" s="223" t="str">
        <f t="shared" si="10"/>
        <v>1%</v>
      </c>
      <c r="T16" s="224"/>
      <c r="U16" s="223" t="str">
        <f t="shared" si="11"/>
        <v>1.4%</v>
      </c>
      <c r="V16" s="224"/>
      <c r="W16" s="223" t="str">
        <f t="shared" si="12"/>
        <v>0.4%</v>
      </c>
      <c r="X16" s="224"/>
      <c r="Y16" s="223" t="str">
        <f t="shared" si="13"/>
        <v>0.5%</v>
      </c>
      <c r="Z16" s="224"/>
      <c r="AA16" s="223" t="str">
        <f t="shared" si="14"/>
        <v>0.6%</v>
      </c>
      <c r="AB16" s="224"/>
    </row>
    <row r="17" spans="1:28" ht="18" customHeight="1" x14ac:dyDescent="0.3">
      <c r="A17" s="207"/>
      <c r="B17" s="91">
        <v>8</v>
      </c>
      <c r="C17" s="14">
        <f>C15</f>
        <v>310</v>
      </c>
      <c r="D17" s="14">
        <f t="shared" si="15"/>
        <v>6.0000000000000005E-2</v>
      </c>
      <c r="E17" s="14">
        <f t="shared" si="0"/>
        <v>0.1</v>
      </c>
      <c r="F17" s="14">
        <f t="shared" si="1"/>
        <v>2.5532300000000001</v>
      </c>
      <c r="G17" s="14">
        <f t="shared" si="2"/>
        <v>-0.61512</v>
      </c>
      <c r="H17" s="14">
        <f t="shared" si="3"/>
        <v>-0.16403000000000001</v>
      </c>
      <c r="I17" s="2">
        <f t="shared" si="16"/>
        <v>3.0599308592550001</v>
      </c>
      <c r="J17" s="14">
        <f t="shared" si="4"/>
        <v>0.3</v>
      </c>
      <c r="K17" s="14">
        <f t="shared" si="5"/>
        <v>2.4653200000000002</v>
      </c>
      <c r="L17" s="14">
        <f t="shared" si="6"/>
        <v>-0.62256999999999996</v>
      </c>
      <c r="M17" s="14">
        <f t="shared" si="7"/>
        <v>-0.11656999999999999</v>
      </c>
      <c r="N17" s="2">
        <f t="shared" si="17"/>
        <v>3.05197734829457</v>
      </c>
      <c r="O17" s="14">
        <f t="shared" si="8"/>
        <v>1.7773547933831988</v>
      </c>
      <c r="P17" s="29">
        <f>O17*A15*$P$6</f>
        <v>3.2525592718912537</v>
      </c>
      <c r="Q17" s="223" t="str">
        <f t="shared" si="9"/>
        <v>0.7%</v>
      </c>
      <c r="R17" s="224"/>
      <c r="S17" s="223" t="str">
        <f t="shared" si="10"/>
        <v>1%</v>
      </c>
      <c r="T17" s="224"/>
      <c r="U17" s="223" t="str">
        <f t="shared" si="11"/>
        <v>1.4%</v>
      </c>
      <c r="V17" s="224"/>
      <c r="W17" s="223" t="str">
        <f t="shared" si="12"/>
        <v>0.4%</v>
      </c>
      <c r="X17" s="224"/>
      <c r="Y17" s="223" t="str">
        <f t="shared" si="13"/>
        <v>0.5%</v>
      </c>
      <c r="Z17" s="224"/>
      <c r="AA17" s="223" t="str">
        <f t="shared" si="14"/>
        <v>0.6%</v>
      </c>
      <c r="AB17" s="224"/>
    </row>
    <row r="18" spans="1:28" ht="18" customHeight="1" thickBot="1" x14ac:dyDescent="0.35">
      <c r="A18" s="208"/>
      <c r="B18" s="92">
        <v>10</v>
      </c>
      <c r="C18" s="33">
        <f>C15</f>
        <v>310</v>
      </c>
      <c r="D18" s="33">
        <f t="shared" si="15"/>
        <v>0.05</v>
      </c>
      <c r="E18" s="33">
        <f t="shared" si="0"/>
        <v>0.1</v>
      </c>
      <c r="F18" s="33">
        <f t="shared" si="1"/>
        <v>2.5532300000000001</v>
      </c>
      <c r="G18" s="33">
        <f t="shared" si="2"/>
        <v>-0.61512</v>
      </c>
      <c r="H18" s="33">
        <f t="shared" si="3"/>
        <v>-0.16403000000000001</v>
      </c>
      <c r="I18" s="6">
        <f t="shared" si="16"/>
        <v>3.0758694264240831</v>
      </c>
      <c r="J18" s="33">
        <f t="shared" si="4"/>
        <v>0.3</v>
      </c>
      <c r="K18" s="33">
        <f t="shared" si="5"/>
        <v>2.4653200000000002</v>
      </c>
      <c r="L18" s="33">
        <f t="shared" si="6"/>
        <v>-0.62256999999999996</v>
      </c>
      <c r="M18" s="33">
        <f t="shared" si="7"/>
        <v>-0.11656999999999999</v>
      </c>
      <c r="N18" s="6">
        <f t="shared" si="17"/>
        <v>3.0779866475866227</v>
      </c>
      <c r="O18" s="33">
        <f t="shared" si="8"/>
        <v>1.8652973061391553</v>
      </c>
      <c r="P18" s="34">
        <f>O18*A15*$P$6</f>
        <v>3.4134940702346546</v>
      </c>
      <c r="Q18" s="198" t="str">
        <f t="shared" si="9"/>
        <v>0.7%</v>
      </c>
      <c r="R18" s="199"/>
      <c r="S18" s="198" t="str">
        <f t="shared" si="10"/>
        <v>1%</v>
      </c>
      <c r="T18" s="199"/>
      <c r="U18" s="198" t="str">
        <f t="shared" si="11"/>
        <v>1.4%</v>
      </c>
      <c r="V18" s="199"/>
      <c r="W18" s="198" t="str">
        <f t="shared" si="12"/>
        <v>0.4%</v>
      </c>
      <c r="X18" s="199"/>
      <c r="Y18" s="198" t="str">
        <f t="shared" si="13"/>
        <v>0.5%</v>
      </c>
      <c r="Z18" s="199"/>
      <c r="AA18" s="198" t="str">
        <f t="shared" si="14"/>
        <v>0.6%</v>
      </c>
      <c r="AB18" s="199"/>
    </row>
    <row r="19" spans="1:28" ht="18" customHeight="1" x14ac:dyDescent="0.3">
      <c r="A19" s="206">
        <v>1.5</v>
      </c>
      <c r="B19" s="90">
        <v>4</v>
      </c>
      <c r="C19" s="35">
        <f>ROUND(1.5*SQRT(A19*43560)/10,0)*10</f>
        <v>380</v>
      </c>
      <c r="D19" s="35">
        <f t="shared" si="15"/>
        <v>0.09</v>
      </c>
      <c r="E19" s="35">
        <f t="shared" si="0"/>
        <v>0.1</v>
      </c>
      <c r="F19" s="35">
        <f t="shared" si="1"/>
        <v>2.5532300000000001</v>
      </c>
      <c r="G19" s="35">
        <f t="shared" si="2"/>
        <v>-0.61512</v>
      </c>
      <c r="H19" s="35">
        <f t="shared" si="3"/>
        <v>-0.16403000000000001</v>
      </c>
      <c r="I19" s="36">
        <f t="shared" si="16"/>
        <v>3.0171117077653538</v>
      </c>
      <c r="J19" s="35">
        <f t="shared" si="4"/>
        <v>0.3</v>
      </c>
      <c r="K19" s="35">
        <f t="shared" si="5"/>
        <v>2.4653200000000002</v>
      </c>
      <c r="L19" s="35">
        <f t="shared" si="6"/>
        <v>-0.62256999999999996</v>
      </c>
      <c r="M19" s="35">
        <f t="shared" si="7"/>
        <v>-0.11656999999999999</v>
      </c>
      <c r="N19" s="36">
        <f t="shared" si="17"/>
        <v>2.9888952713513972</v>
      </c>
      <c r="O19" s="35">
        <f t="shared" si="8"/>
        <v>1.5733433743521876</v>
      </c>
      <c r="P19" s="37">
        <f>O19*A19*$P$6</f>
        <v>4.3188275625967547</v>
      </c>
      <c r="Q19" s="196" t="str">
        <f t="shared" si="9"/>
        <v>0.6%</v>
      </c>
      <c r="R19" s="197"/>
      <c r="S19" s="196" t="str">
        <f t="shared" si="10"/>
        <v>0.8%</v>
      </c>
      <c r="T19" s="197"/>
      <c r="U19" s="196" t="str">
        <f t="shared" si="11"/>
        <v>1%</v>
      </c>
      <c r="V19" s="197"/>
      <c r="W19" s="196" t="str">
        <f t="shared" si="12"/>
        <v>0.2%</v>
      </c>
      <c r="X19" s="197"/>
      <c r="Y19" s="196" t="str">
        <f t="shared" si="13"/>
        <v>0.4%</v>
      </c>
      <c r="Z19" s="197"/>
      <c r="AA19" s="196" t="str">
        <f t="shared" si="14"/>
        <v>0.5%</v>
      </c>
      <c r="AB19" s="197"/>
    </row>
    <row r="20" spans="1:28" ht="18" customHeight="1" x14ac:dyDescent="0.3">
      <c r="A20" s="207"/>
      <c r="B20" s="91">
        <v>6</v>
      </c>
      <c r="C20" s="14">
        <f>C19</f>
        <v>380</v>
      </c>
      <c r="D20" s="14">
        <f t="shared" si="15"/>
        <v>6.9999999999999993E-2</v>
      </c>
      <c r="E20" s="14">
        <f t="shared" si="0"/>
        <v>0.1</v>
      </c>
      <c r="F20" s="14">
        <f t="shared" si="1"/>
        <v>2.5532300000000001</v>
      </c>
      <c r="G20" s="14">
        <f t="shared" si="2"/>
        <v>-0.61512</v>
      </c>
      <c r="H20" s="14">
        <f t="shared" si="3"/>
        <v>-0.16403000000000001</v>
      </c>
      <c r="I20" s="2">
        <f t="shared" si="16"/>
        <v>3.0448503195729733</v>
      </c>
      <c r="J20" s="14">
        <f t="shared" si="4"/>
        <v>0.3</v>
      </c>
      <c r="K20" s="14">
        <f t="shared" si="5"/>
        <v>2.4653200000000002</v>
      </c>
      <c r="L20" s="14">
        <f t="shared" si="6"/>
        <v>-0.62256999999999996</v>
      </c>
      <c r="M20" s="14">
        <f t="shared" si="7"/>
        <v>-0.11656999999999999</v>
      </c>
      <c r="N20" s="2">
        <f t="shared" si="17"/>
        <v>3.0288464177493788</v>
      </c>
      <c r="O20" s="14">
        <f t="shared" si="8"/>
        <v>1.7008593222227677</v>
      </c>
      <c r="P20" s="29">
        <f>O20*A19*$P$6</f>
        <v>4.6688588395014969</v>
      </c>
      <c r="Q20" s="223" t="str">
        <f t="shared" si="9"/>
        <v>0.6%</v>
      </c>
      <c r="R20" s="224"/>
      <c r="S20" s="223" t="str">
        <f t="shared" si="10"/>
        <v>0.8%</v>
      </c>
      <c r="T20" s="224"/>
      <c r="U20" s="223" t="str">
        <f t="shared" si="11"/>
        <v>1%</v>
      </c>
      <c r="V20" s="224"/>
      <c r="W20" s="223" t="str">
        <f t="shared" si="12"/>
        <v>0.2%</v>
      </c>
      <c r="X20" s="224"/>
      <c r="Y20" s="223" t="str">
        <f t="shared" si="13"/>
        <v>0.4%</v>
      </c>
      <c r="Z20" s="224"/>
      <c r="AA20" s="223" t="str">
        <f t="shared" si="14"/>
        <v>0.5%</v>
      </c>
      <c r="AB20" s="224"/>
    </row>
    <row r="21" spans="1:28" ht="18" customHeight="1" x14ac:dyDescent="0.3">
      <c r="A21" s="207"/>
      <c r="B21" s="91">
        <v>8</v>
      </c>
      <c r="C21" s="14">
        <f>C19</f>
        <v>380</v>
      </c>
      <c r="D21" s="14">
        <f t="shared" si="15"/>
        <v>6.9999999999999993E-2</v>
      </c>
      <c r="E21" s="14">
        <f t="shared" si="0"/>
        <v>0.1</v>
      </c>
      <c r="F21" s="14">
        <f t="shared" si="1"/>
        <v>2.5532300000000001</v>
      </c>
      <c r="G21" s="14">
        <f t="shared" si="2"/>
        <v>-0.61512</v>
      </c>
      <c r="H21" s="14">
        <f t="shared" si="3"/>
        <v>-0.16403000000000001</v>
      </c>
      <c r="I21" s="2">
        <f t="shared" si="16"/>
        <v>3.0448503195729733</v>
      </c>
      <c r="J21" s="14">
        <f t="shared" si="4"/>
        <v>0.3</v>
      </c>
      <c r="K21" s="14">
        <f t="shared" si="5"/>
        <v>2.4653200000000002</v>
      </c>
      <c r="L21" s="14">
        <f t="shared" si="6"/>
        <v>-0.62256999999999996</v>
      </c>
      <c r="M21" s="14">
        <f t="shared" si="7"/>
        <v>-0.11656999999999999</v>
      </c>
      <c r="N21" s="2">
        <f t="shared" si="17"/>
        <v>3.0288464177493788</v>
      </c>
      <c r="O21" s="14">
        <f t="shared" si="8"/>
        <v>1.7008593222227677</v>
      </c>
      <c r="P21" s="29">
        <f>O21*A19*$P$6</f>
        <v>4.6688588395014969</v>
      </c>
      <c r="Q21" s="223" t="str">
        <f t="shared" si="9"/>
        <v>0.6%</v>
      </c>
      <c r="R21" s="224"/>
      <c r="S21" s="223" t="str">
        <f t="shared" si="10"/>
        <v>0.8%</v>
      </c>
      <c r="T21" s="224"/>
      <c r="U21" s="223" t="str">
        <f t="shared" si="11"/>
        <v>1%</v>
      </c>
      <c r="V21" s="224"/>
      <c r="W21" s="223" t="str">
        <f t="shared" si="12"/>
        <v>0.2%</v>
      </c>
      <c r="X21" s="224"/>
      <c r="Y21" s="223" t="str">
        <f t="shared" si="13"/>
        <v>0.4%</v>
      </c>
      <c r="Z21" s="224"/>
      <c r="AA21" s="223" t="str">
        <f t="shared" si="14"/>
        <v>0.5%</v>
      </c>
      <c r="AB21" s="224"/>
    </row>
    <row r="22" spans="1:28" ht="18" customHeight="1" thickBot="1" x14ac:dyDescent="0.35">
      <c r="A22" s="208"/>
      <c r="B22" s="92">
        <v>10</v>
      </c>
      <c r="C22" s="33">
        <f>C19</f>
        <v>380</v>
      </c>
      <c r="D22" s="33">
        <f t="shared" si="15"/>
        <v>6.0000000000000005E-2</v>
      </c>
      <c r="E22" s="33">
        <f t="shared" si="0"/>
        <v>0.1</v>
      </c>
      <c r="F22" s="33">
        <f t="shared" si="1"/>
        <v>2.5532300000000001</v>
      </c>
      <c r="G22" s="33">
        <f t="shared" si="2"/>
        <v>-0.61512</v>
      </c>
      <c r="H22" s="33">
        <f t="shared" si="3"/>
        <v>-0.16403000000000001</v>
      </c>
      <c r="I22" s="6">
        <f t="shared" si="16"/>
        <v>3.0599308592550001</v>
      </c>
      <c r="J22" s="33">
        <f t="shared" si="4"/>
        <v>0.3</v>
      </c>
      <c r="K22" s="33">
        <f t="shared" si="5"/>
        <v>2.4653200000000002</v>
      </c>
      <c r="L22" s="33">
        <f t="shared" si="6"/>
        <v>-0.62256999999999996</v>
      </c>
      <c r="M22" s="33">
        <f t="shared" si="7"/>
        <v>-0.11656999999999999</v>
      </c>
      <c r="N22" s="6">
        <f t="shared" si="17"/>
        <v>3.05197734829457</v>
      </c>
      <c r="O22" s="33">
        <f t="shared" si="8"/>
        <v>1.7773547933831988</v>
      </c>
      <c r="P22" s="34">
        <f>O22*A19*$P$6</f>
        <v>4.8788389078368803</v>
      </c>
      <c r="Q22" s="198" t="str">
        <f t="shared" si="9"/>
        <v>0.6%</v>
      </c>
      <c r="R22" s="199"/>
      <c r="S22" s="198" t="str">
        <f t="shared" si="10"/>
        <v>0.8%</v>
      </c>
      <c r="T22" s="199"/>
      <c r="U22" s="198" t="str">
        <f t="shared" si="11"/>
        <v>1%</v>
      </c>
      <c r="V22" s="199"/>
      <c r="W22" s="198" t="str">
        <f t="shared" si="12"/>
        <v>0.2%</v>
      </c>
      <c r="X22" s="199"/>
      <c r="Y22" s="198" t="str">
        <f t="shared" si="13"/>
        <v>0.4%</v>
      </c>
      <c r="Z22" s="199"/>
      <c r="AA22" s="198" t="str">
        <f t="shared" si="14"/>
        <v>0.5%</v>
      </c>
      <c r="AB22" s="199"/>
    </row>
    <row r="23" spans="1:28" ht="18" customHeight="1" x14ac:dyDescent="0.3">
      <c r="A23" s="206">
        <v>2</v>
      </c>
      <c r="B23" s="90">
        <v>4</v>
      </c>
      <c r="C23" s="35">
        <f>ROUND(1.5*SQRT(A23*43560)/10,0)*10</f>
        <v>440</v>
      </c>
      <c r="D23" s="35">
        <f t="shared" si="15"/>
        <v>9.9999999999999992E-2</v>
      </c>
      <c r="E23" s="35">
        <f t="shared" si="0"/>
        <v>0.1</v>
      </c>
      <c r="F23" s="35">
        <f t="shared" si="1"/>
        <v>2.5532300000000001</v>
      </c>
      <c r="G23" s="35">
        <f t="shared" si="2"/>
        <v>-0.61512</v>
      </c>
      <c r="H23" s="35">
        <f t="shared" si="3"/>
        <v>-0.16403000000000001</v>
      </c>
      <c r="I23" s="36">
        <f t="shared" si="16"/>
        <v>3.0043200000000003</v>
      </c>
      <c r="J23" s="35">
        <f t="shared" si="4"/>
        <v>0.3</v>
      </c>
      <c r="K23" s="35">
        <f t="shared" si="5"/>
        <v>2.4653200000000002</v>
      </c>
      <c r="L23" s="35">
        <f t="shared" si="6"/>
        <v>-0.62256999999999996</v>
      </c>
      <c r="M23" s="35">
        <f t="shared" si="7"/>
        <v>-0.11656999999999999</v>
      </c>
      <c r="N23" s="36">
        <f t="shared" si="17"/>
        <v>2.9713200000000004</v>
      </c>
      <c r="O23" s="35">
        <f t="shared" si="8"/>
        <v>1.5192877145768793</v>
      </c>
      <c r="P23" s="37">
        <f>O23*A23*$P$6</f>
        <v>5.5605930353513786</v>
      </c>
      <c r="Q23" s="196" t="str">
        <f t="shared" si="9"/>
        <v>0.5%</v>
      </c>
      <c r="R23" s="197"/>
      <c r="S23" s="196" t="str">
        <f t="shared" si="10"/>
        <v>0.7%</v>
      </c>
      <c r="T23" s="197"/>
      <c r="U23" s="196" t="str">
        <f t="shared" si="11"/>
        <v>0.9%</v>
      </c>
      <c r="V23" s="197"/>
      <c r="W23" s="196" t="str">
        <f t="shared" si="12"/>
        <v>0.2%</v>
      </c>
      <c r="X23" s="197"/>
      <c r="Y23" s="196" t="str">
        <f t="shared" si="13"/>
        <v>0.3%</v>
      </c>
      <c r="Z23" s="197"/>
      <c r="AA23" s="196" t="str">
        <f t="shared" si="14"/>
        <v>0.4%</v>
      </c>
      <c r="AB23" s="197"/>
    </row>
    <row r="24" spans="1:28" ht="18" customHeight="1" x14ac:dyDescent="0.3">
      <c r="A24" s="207"/>
      <c r="B24" s="91">
        <v>6</v>
      </c>
      <c r="C24" s="14">
        <f>C23</f>
        <v>440</v>
      </c>
      <c r="D24" s="14">
        <f t="shared" si="15"/>
        <v>0.08</v>
      </c>
      <c r="E24" s="14">
        <f t="shared" si="0"/>
        <v>0.1</v>
      </c>
      <c r="F24" s="14">
        <f t="shared" si="1"/>
        <v>2.5532300000000001</v>
      </c>
      <c r="G24" s="14">
        <f t="shared" si="2"/>
        <v>-0.61512</v>
      </c>
      <c r="H24" s="14">
        <f t="shared" si="3"/>
        <v>-0.16403000000000001</v>
      </c>
      <c r="I24" s="2">
        <f t="shared" si="16"/>
        <v>3.0305984922856934</v>
      </c>
      <c r="J24" s="14">
        <f t="shared" si="4"/>
        <v>0.3</v>
      </c>
      <c r="K24" s="14">
        <f t="shared" si="5"/>
        <v>2.4653200000000002</v>
      </c>
      <c r="L24" s="14">
        <f t="shared" si="6"/>
        <v>-0.62256999999999996</v>
      </c>
      <c r="M24" s="14">
        <f t="shared" si="7"/>
        <v>-0.11656999999999999</v>
      </c>
      <c r="N24" s="2">
        <f t="shared" si="17"/>
        <v>3.0079648933098118</v>
      </c>
      <c r="O24" s="14">
        <f t="shared" si="8"/>
        <v>1.6334344799518139</v>
      </c>
      <c r="P24" s="29">
        <f>O24*A23*$P$6</f>
        <v>5.9783701966236391</v>
      </c>
      <c r="Q24" s="223" t="str">
        <f t="shared" si="9"/>
        <v>0.5%</v>
      </c>
      <c r="R24" s="224"/>
      <c r="S24" s="223" t="str">
        <f t="shared" si="10"/>
        <v>0.7%</v>
      </c>
      <c r="T24" s="224"/>
      <c r="U24" s="223" t="str">
        <f t="shared" si="11"/>
        <v>0.9%</v>
      </c>
      <c r="V24" s="224"/>
      <c r="W24" s="223" t="str">
        <f t="shared" si="12"/>
        <v>0.2%</v>
      </c>
      <c r="X24" s="224"/>
      <c r="Y24" s="223" t="str">
        <f t="shared" si="13"/>
        <v>0.3%</v>
      </c>
      <c r="Z24" s="224"/>
      <c r="AA24" s="223" t="str">
        <f t="shared" si="14"/>
        <v>0.4%</v>
      </c>
      <c r="AB24" s="224"/>
    </row>
    <row r="25" spans="1:28" ht="18" customHeight="1" x14ac:dyDescent="0.3">
      <c r="A25" s="207"/>
      <c r="B25" s="91">
        <v>8</v>
      </c>
      <c r="C25" s="14">
        <f>C23</f>
        <v>440</v>
      </c>
      <c r="D25" s="14">
        <f t="shared" si="15"/>
        <v>6.9999999999999993E-2</v>
      </c>
      <c r="E25" s="14">
        <f t="shared" si="0"/>
        <v>0.1</v>
      </c>
      <c r="F25" s="14">
        <f t="shared" si="1"/>
        <v>2.5532300000000001</v>
      </c>
      <c r="G25" s="14">
        <f t="shared" si="2"/>
        <v>-0.61512</v>
      </c>
      <c r="H25" s="14">
        <f t="shared" si="3"/>
        <v>-0.16403000000000001</v>
      </c>
      <c r="I25" s="2">
        <f t="shared" si="16"/>
        <v>3.0448503195729733</v>
      </c>
      <c r="J25" s="14">
        <f t="shared" si="4"/>
        <v>0.3</v>
      </c>
      <c r="K25" s="14">
        <f t="shared" si="5"/>
        <v>2.4653200000000002</v>
      </c>
      <c r="L25" s="14">
        <f t="shared" si="6"/>
        <v>-0.62256999999999996</v>
      </c>
      <c r="M25" s="14">
        <f t="shared" si="7"/>
        <v>-0.11656999999999999</v>
      </c>
      <c r="N25" s="2">
        <f t="shared" si="17"/>
        <v>3.0288464177493788</v>
      </c>
      <c r="O25" s="14">
        <f t="shared" si="8"/>
        <v>1.7008593222227677</v>
      </c>
      <c r="P25" s="29">
        <f>O25*A23*$P$6</f>
        <v>6.2251451193353304</v>
      </c>
      <c r="Q25" s="223" t="str">
        <f t="shared" si="9"/>
        <v>0.4%</v>
      </c>
      <c r="R25" s="224"/>
      <c r="S25" s="223" t="str">
        <f t="shared" si="10"/>
        <v>0.6%</v>
      </c>
      <c r="T25" s="224"/>
      <c r="U25" s="223" t="str">
        <f t="shared" si="11"/>
        <v>0.7%</v>
      </c>
      <c r="V25" s="224"/>
      <c r="W25" s="223" t="str">
        <f t="shared" si="12"/>
        <v>0.2%</v>
      </c>
      <c r="X25" s="224"/>
      <c r="Y25" s="223" t="str">
        <f t="shared" si="13"/>
        <v>0.3%</v>
      </c>
      <c r="Z25" s="224"/>
      <c r="AA25" s="223" t="str">
        <f t="shared" si="14"/>
        <v>0.3%</v>
      </c>
      <c r="AB25" s="224"/>
    </row>
    <row r="26" spans="1:28" ht="18" customHeight="1" thickBot="1" x14ac:dyDescent="0.35">
      <c r="A26" s="208"/>
      <c r="B26" s="92">
        <v>10</v>
      </c>
      <c r="C26" s="33">
        <f>C23</f>
        <v>440</v>
      </c>
      <c r="D26" s="33">
        <f t="shared" si="15"/>
        <v>6.9999999999999993E-2</v>
      </c>
      <c r="E26" s="33">
        <f t="shared" si="0"/>
        <v>0.1</v>
      </c>
      <c r="F26" s="33">
        <f t="shared" si="1"/>
        <v>2.5532300000000001</v>
      </c>
      <c r="G26" s="33">
        <f t="shared" si="2"/>
        <v>-0.61512</v>
      </c>
      <c r="H26" s="33">
        <f t="shared" si="3"/>
        <v>-0.16403000000000001</v>
      </c>
      <c r="I26" s="6">
        <f t="shared" si="16"/>
        <v>3.0448503195729733</v>
      </c>
      <c r="J26" s="33">
        <f t="shared" si="4"/>
        <v>0.3</v>
      </c>
      <c r="K26" s="33">
        <f t="shared" si="5"/>
        <v>2.4653200000000002</v>
      </c>
      <c r="L26" s="33">
        <f t="shared" si="6"/>
        <v>-0.62256999999999996</v>
      </c>
      <c r="M26" s="33">
        <f t="shared" si="7"/>
        <v>-0.11656999999999999</v>
      </c>
      <c r="N26" s="6">
        <f t="shared" si="17"/>
        <v>3.0288464177493788</v>
      </c>
      <c r="O26" s="33">
        <f t="shared" si="8"/>
        <v>1.7008593222227677</v>
      </c>
      <c r="P26" s="34">
        <f>O26*A23*$P$6</f>
        <v>6.2251451193353304</v>
      </c>
      <c r="Q26" s="198" t="str">
        <f t="shared" si="9"/>
        <v>0.4%</v>
      </c>
      <c r="R26" s="199"/>
      <c r="S26" s="198" t="str">
        <f t="shared" si="10"/>
        <v>0.6%</v>
      </c>
      <c r="T26" s="199"/>
      <c r="U26" s="198" t="str">
        <f t="shared" si="11"/>
        <v>0.7%</v>
      </c>
      <c r="V26" s="199"/>
      <c r="W26" s="198" t="str">
        <f t="shared" si="12"/>
        <v>0.2%</v>
      </c>
      <c r="X26" s="199"/>
      <c r="Y26" s="198" t="str">
        <f t="shared" si="13"/>
        <v>0.3%</v>
      </c>
      <c r="Z26" s="199"/>
      <c r="AA26" s="198" t="str">
        <f t="shared" si="14"/>
        <v>0.3%</v>
      </c>
      <c r="AB26" s="199"/>
    </row>
    <row r="27" spans="1:28" ht="18" customHeight="1" x14ac:dyDescent="0.3">
      <c r="A27" s="206">
        <v>2.5</v>
      </c>
      <c r="B27" s="90">
        <v>4</v>
      </c>
      <c r="C27" s="35">
        <f>ROUND(1.5*SQRT(A27*43560)/10,0)*10</f>
        <v>500</v>
      </c>
      <c r="D27" s="35">
        <f t="shared" si="15"/>
        <v>0.11</v>
      </c>
      <c r="E27" s="35">
        <f t="shared" si="0"/>
        <v>0.1</v>
      </c>
      <c r="F27" s="35">
        <f t="shared" si="1"/>
        <v>2.5532300000000001</v>
      </c>
      <c r="G27" s="35">
        <f t="shared" si="2"/>
        <v>-0.61512</v>
      </c>
      <c r="H27" s="35">
        <f t="shared" si="3"/>
        <v>-0.16403000000000001</v>
      </c>
      <c r="I27" s="36">
        <f t="shared" si="16"/>
        <v>2.9921567742787727</v>
      </c>
      <c r="J27" s="35">
        <f t="shared" si="4"/>
        <v>0.3</v>
      </c>
      <c r="K27" s="35">
        <f t="shared" si="5"/>
        <v>2.4653200000000002</v>
      </c>
      <c r="L27" s="35">
        <f t="shared" si="6"/>
        <v>-0.62256999999999996</v>
      </c>
      <c r="M27" s="35">
        <f t="shared" si="7"/>
        <v>-0.11656999999999999</v>
      </c>
      <c r="N27" s="36">
        <f t="shared" si="17"/>
        <v>2.955000720898219</v>
      </c>
      <c r="O27" s="35">
        <f t="shared" si="8"/>
        <v>1.470275680095259</v>
      </c>
      <c r="P27" s="37">
        <f>O27*A27*$P$6</f>
        <v>6.7265112364358099</v>
      </c>
      <c r="Q27" s="196" t="str">
        <f t="shared" si="9"/>
        <v>0.4%</v>
      </c>
      <c r="R27" s="197"/>
      <c r="S27" s="196" t="str">
        <f t="shared" si="10"/>
        <v>0.6%</v>
      </c>
      <c r="T27" s="197"/>
      <c r="U27" s="196" t="str">
        <f t="shared" si="11"/>
        <v>0.7%</v>
      </c>
      <c r="V27" s="197"/>
      <c r="W27" s="196" t="str">
        <f t="shared" si="12"/>
        <v>0.2%</v>
      </c>
      <c r="X27" s="197"/>
      <c r="Y27" s="196" t="str">
        <f t="shared" si="13"/>
        <v>0.3%</v>
      </c>
      <c r="Z27" s="197"/>
      <c r="AA27" s="196" t="str">
        <f t="shared" si="14"/>
        <v>0.3%</v>
      </c>
      <c r="AB27" s="197"/>
    </row>
    <row r="28" spans="1:28" ht="18" customHeight="1" x14ac:dyDescent="0.3">
      <c r="A28" s="207"/>
      <c r="B28" s="91">
        <v>6</v>
      </c>
      <c r="C28" s="14">
        <f>C27</f>
        <v>500</v>
      </c>
      <c r="D28" s="14">
        <f t="shared" si="15"/>
        <v>0.09</v>
      </c>
      <c r="E28" s="14">
        <f t="shared" si="0"/>
        <v>0.1</v>
      </c>
      <c r="F28" s="14">
        <f t="shared" si="1"/>
        <v>2.5532300000000001</v>
      </c>
      <c r="G28" s="14">
        <f t="shared" si="2"/>
        <v>-0.61512</v>
      </c>
      <c r="H28" s="14">
        <f t="shared" si="3"/>
        <v>-0.16403000000000001</v>
      </c>
      <c r="I28" s="2">
        <f t="shared" si="16"/>
        <v>3.0171117077653538</v>
      </c>
      <c r="J28" s="14">
        <f t="shared" si="4"/>
        <v>0.3</v>
      </c>
      <c r="K28" s="14">
        <f t="shared" si="5"/>
        <v>2.4653200000000002</v>
      </c>
      <c r="L28" s="14">
        <f t="shared" si="6"/>
        <v>-0.62256999999999996</v>
      </c>
      <c r="M28" s="14">
        <f t="shared" si="7"/>
        <v>-0.11656999999999999</v>
      </c>
      <c r="N28" s="2">
        <f t="shared" si="17"/>
        <v>2.9888952713513972</v>
      </c>
      <c r="O28" s="14">
        <f t="shared" si="8"/>
        <v>1.5733433743521876</v>
      </c>
      <c r="P28" s="29">
        <f>O28*A27*$P$6</f>
        <v>7.1980459376612584</v>
      </c>
      <c r="Q28" s="223" t="str">
        <f t="shared" si="9"/>
        <v>0.3%</v>
      </c>
      <c r="R28" s="224"/>
      <c r="S28" s="223" t="str">
        <f t="shared" si="10"/>
        <v>0.5%</v>
      </c>
      <c r="T28" s="224"/>
      <c r="U28" s="223" t="str">
        <f t="shared" si="11"/>
        <v>0.6%</v>
      </c>
      <c r="V28" s="224"/>
      <c r="W28" s="223" t="str">
        <f t="shared" si="12"/>
        <v>-</v>
      </c>
      <c r="X28" s="224"/>
      <c r="Y28" s="223" t="str">
        <f t="shared" si="13"/>
        <v>0.2%</v>
      </c>
      <c r="Z28" s="224"/>
      <c r="AA28" s="223" t="str">
        <f t="shared" si="14"/>
        <v>0.3%</v>
      </c>
      <c r="AB28" s="224"/>
    </row>
    <row r="29" spans="1:28" ht="18" customHeight="1" x14ac:dyDescent="0.3">
      <c r="A29" s="207"/>
      <c r="B29" s="91">
        <v>8</v>
      </c>
      <c r="C29" s="14">
        <f>C27</f>
        <v>500</v>
      </c>
      <c r="D29" s="14">
        <f t="shared" si="15"/>
        <v>0.08</v>
      </c>
      <c r="E29" s="14">
        <f t="shared" si="0"/>
        <v>0.1</v>
      </c>
      <c r="F29" s="14">
        <f t="shared" si="1"/>
        <v>2.5532300000000001</v>
      </c>
      <c r="G29" s="14">
        <f t="shared" si="2"/>
        <v>-0.61512</v>
      </c>
      <c r="H29" s="14">
        <f t="shared" si="3"/>
        <v>-0.16403000000000001</v>
      </c>
      <c r="I29" s="2">
        <f t="shared" si="16"/>
        <v>3.0305984922856934</v>
      </c>
      <c r="J29" s="14">
        <f t="shared" si="4"/>
        <v>0.3</v>
      </c>
      <c r="K29" s="14">
        <f t="shared" si="5"/>
        <v>2.4653200000000002</v>
      </c>
      <c r="L29" s="14">
        <f t="shared" si="6"/>
        <v>-0.62256999999999996</v>
      </c>
      <c r="M29" s="14">
        <f t="shared" si="7"/>
        <v>-0.11656999999999999</v>
      </c>
      <c r="N29" s="2">
        <f t="shared" si="17"/>
        <v>3.0079648933098118</v>
      </c>
      <c r="O29" s="14">
        <f t="shared" si="8"/>
        <v>1.6334344799518139</v>
      </c>
      <c r="P29" s="29">
        <f>O29*A27*$P$6</f>
        <v>7.4729627457795491</v>
      </c>
      <c r="Q29" s="223" t="str">
        <f t="shared" si="9"/>
        <v>0.3%</v>
      </c>
      <c r="R29" s="224"/>
      <c r="S29" s="223" t="str">
        <f t="shared" si="10"/>
        <v>0.5%</v>
      </c>
      <c r="T29" s="224"/>
      <c r="U29" s="223" t="str">
        <f t="shared" si="11"/>
        <v>0.6%</v>
      </c>
      <c r="V29" s="224"/>
      <c r="W29" s="223" t="str">
        <f t="shared" si="12"/>
        <v>-</v>
      </c>
      <c r="X29" s="224"/>
      <c r="Y29" s="223" t="str">
        <f t="shared" si="13"/>
        <v>0.2%</v>
      </c>
      <c r="Z29" s="224"/>
      <c r="AA29" s="223" t="str">
        <f t="shared" si="14"/>
        <v>0.3%</v>
      </c>
      <c r="AB29" s="224"/>
    </row>
    <row r="30" spans="1:28" ht="18" customHeight="1" thickBot="1" x14ac:dyDescent="0.35">
      <c r="A30" s="208"/>
      <c r="B30" s="92">
        <v>10</v>
      </c>
      <c r="C30" s="33">
        <f>C27</f>
        <v>500</v>
      </c>
      <c r="D30" s="33">
        <f t="shared" si="15"/>
        <v>6.9999999999999993E-2</v>
      </c>
      <c r="E30" s="33">
        <f t="shared" si="0"/>
        <v>0.1</v>
      </c>
      <c r="F30" s="33">
        <f t="shared" si="1"/>
        <v>2.5532300000000001</v>
      </c>
      <c r="G30" s="33">
        <f t="shared" si="2"/>
        <v>-0.61512</v>
      </c>
      <c r="H30" s="33">
        <f t="shared" si="3"/>
        <v>-0.16403000000000001</v>
      </c>
      <c r="I30" s="6">
        <f t="shared" si="16"/>
        <v>3.0448503195729733</v>
      </c>
      <c r="J30" s="33">
        <f t="shared" si="4"/>
        <v>0.3</v>
      </c>
      <c r="K30" s="33">
        <f t="shared" si="5"/>
        <v>2.4653200000000002</v>
      </c>
      <c r="L30" s="33">
        <f t="shared" si="6"/>
        <v>-0.62256999999999996</v>
      </c>
      <c r="M30" s="33">
        <f t="shared" si="7"/>
        <v>-0.11656999999999999</v>
      </c>
      <c r="N30" s="6">
        <f t="shared" si="17"/>
        <v>3.0288464177493788</v>
      </c>
      <c r="O30" s="33">
        <f t="shared" si="8"/>
        <v>1.7008593222227677</v>
      </c>
      <c r="P30" s="34">
        <f>O30*A27*$P$6</f>
        <v>7.781431399169163</v>
      </c>
      <c r="Q30" s="198" t="str">
        <f t="shared" si="9"/>
        <v>0.3%</v>
      </c>
      <c r="R30" s="199"/>
      <c r="S30" s="198" t="str">
        <f t="shared" si="10"/>
        <v>0.5%</v>
      </c>
      <c r="T30" s="199"/>
      <c r="U30" s="198" t="str">
        <f t="shared" si="11"/>
        <v>0.6%</v>
      </c>
      <c r="V30" s="199"/>
      <c r="W30" s="198" t="str">
        <f t="shared" si="12"/>
        <v>-</v>
      </c>
      <c r="X30" s="199"/>
      <c r="Y30" s="198" t="str">
        <f t="shared" si="13"/>
        <v>0.2%</v>
      </c>
      <c r="Z30" s="199"/>
      <c r="AA30" s="198" t="str">
        <f t="shared" si="14"/>
        <v>0.3%</v>
      </c>
      <c r="AB30" s="199"/>
    </row>
    <row r="31" spans="1:28" ht="18" customHeight="1" x14ac:dyDescent="0.3">
      <c r="A31" s="207">
        <v>3</v>
      </c>
      <c r="B31" s="93">
        <v>4</v>
      </c>
      <c r="C31" s="14">
        <f>ROUND(1.5*SQRT(A31*43560)/10,0)*10</f>
        <v>540</v>
      </c>
      <c r="D31" s="14">
        <f t="shared" si="15"/>
        <v>0.12</v>
      </c>
      <c r="E31" s="14">
        <f t="shared" si="0"/>
        <v>0.1</v>
      </c>
      <c r="F31" s="14">
        <f t="shared" si="1"/>
        <v>2.5532300000000001</v>
      </c>
      <c r="G31" s="14">
        <f t="shared" si="2"/>
        <v>-0.61512</v>
      </c>
      <c r="H31" s="14">
        <f t="shared" si="3"/>
        <v>-0.16403000000000001</v>
      </c>
      <c r="I31" s="31">
        <f t="shared" si="16"/>
        <v>2.9805618175844697</v>
      </c>
      <c r="J31" s="14">
        <f t="shared" si="4"/>
        <v>0.3</v>
      </c>
      <c r="K31" s="14">
        <f t="shared" si="5"/>
        <v>2.4653200000000002</v>
      </c>
      <c r="L31" s="14">
        <f t="shared" si="6"/>
        <v>-0.62256999999999996</v>
      </c>
      <c r="M31" s="14">
        <f t="shared" si="7"/>
        <v>-0.11656999999999999</v>
      </c>
      <c r="N31" s="31">
        <f t="shared" si="17"/>
        <v>2.9397535919517539</v>
      </c>
      <c r="O31" s="14">
        <f t="shared" si="8"/>
        <v>1.4255344949318072</v>
      </c>
      <c r="P31" s="32">
        <f>O31*A31*$P$6</f>
        <v>7.826184377175621</v>
      </c>
      <c r="Q31" s="196" t="str">
        <f t="shared" si="9"/>
        <v>0.3%</v>
      </c>
      <c r="R31" s="197"/>
      <c r="S31" s="196" t="str">
        <f t="shared" si="10"/>
        <v>0.5%</v>
      </c>
      <c r="T31" s="197"/>
      <c r="U31" s="196" t="str">
        <f t="shared" si="11"/>
        <v>0.6%</v>
      </c>
      <c r="V31" s="197"/>
      <c r="W31" s="196" t="str">
        <f t="shared" si="12"/>
        <v>-</v>
      </c>
      <c r="X31" s="197"/>
      <c r="Y31" s="196" t="str">
        <f t="shared" si="13"/>
        <v>0.2%</v>
      </c>
      <c r="Z31" s="197"/>
      <c r="AA31" s="196" t="str">
        <f t="shared" si="14"/>
        <v>0.3%</v>
      </c>
      <c r="AB31" s="197"/>
    </row>
    <row r="32" spans="1:28" ht="18" customHeight="1" x14ac:dyDescent="0.3">
      <c r="A32" s="207"/>
      <c r="B32" s="91">
        <v>6</v>
      </c>
      <c r="C32" s="14">
        <f>C31</f>
        <v>540</v>
      </c>
      <c r="D32" s="14">
        <f t="shared" si="15"/>
        <v>9.9999999999999992E-2</v>
      </c>
      <c r="E32" s="14">
        <f t="shared" si="0"/>
        <v>0.1</v>
      </c>
      <c r="F32" s="14">
        <f t="shared" si="1"/>
        <v>2.5532300000000001</v>
      </c>
      <c r="G32" s="14">
        <f t="shared" si="2"/>
        <v>-0.61512</v>
      </c>
      <c r="H32" s="14">
        <f t="shared" si="3"/>
        <v>-0.16403000000000001</v>
      </c>
      <c r="I32" s="2">
        <f t="shared" si="16"/>
        <v>3.0043200000000003</v>
      </c>
      <c r="J32" s="14">
        <f t="shared" si="4"/>
        <v>0.3</v>
      </c>
      <c r="K32" s="14">
        <f t="shared" si="5"/>
        <v>2.4653200000000002</v>
      </c>
      <c r="L32" s="14">
        <f t="shared" si="6"/>
        <v>-0.62256999999999996</v>
      </c>
      <c r="M32" s="14">
        <f t="shared" si="7"/>
        <v>-0.11656999999999999</v>
      </c>
      <c r="N32" s="2">
        <f t="shared" si="17"/>
        <v>2.9713200000000004</v>
      </c>
      <c r="O32" s="14">
        <f t="shared" si="8"/>
        <v>1.5192877145768793</v>
      </c>
      <c r="P32" s="29">
        <f>O32*A31*$P$6</f>
        <v>8.3408895530270666</v>
      </c>
      <c r="Q32" s="223" t="str">
        <f t="shared" si="9"/>
        <v>0.3%</v>
      </c>
      <c r="R32" s="224"/>
      <c r="S32" s="223" t="str">
        <f t="shared" si="10"/>
        <v>0.4%</v>
      </c>
      <c r="T32" s="224"/>
      <c r="U32" s="223" t="str">
        <f t="shared" si="11"/>
        <v>0.6%</v>
      </c>
      <c r="V32" s="224"/>
      <c r="W32" s="223" t="str">
        <f t="shared" si="12"/>
        <v>-</v>
      </c>
      <c r="X32" s="224"/>
      <c r="Y32" s="223" t="str">
        <f t="shared" si="13"/>
        <v>0.2%</v>
      </c>
      <c r="Z32" s="224"/>
      <c r="AA32" s="223" t="str">
        <f t="shared" si="14"/>
        <v>0.3%</v>
      </c>
      <c r="AB32" s="224"/>
    </row>
    <row r="33" spans="1:28" ht="18" customHeight="1" x14ac:dyDescent="0.3">
      <c r="A33" s="207"/>
      <c r="B33" s="91">
        <v>8</v>
      </c>
      <c r="C33" s="14">
        <f>C31</f>
        <v>540</v>
      </c>
      <c r="D33" s="14">
        <f t="shared" si="15"/>
        <v>0.09</v>
      </c>
      <c r="E33" s="14">
        <f t="shared" si="0"/>
        <v>0.1</v>
      </c>
      <c r="F33" s="14">
        <f t="shared" si="1"/>
        <v>2.5532300000000001</v>
      </c>
      <c r="G33" s="14">
        <f t="shared" si="2"/>
        <v>-0.61512</v>
      </c>
      <c r="H33" s="14">
        <f t="shared" si="3"/>
        <v>-0.16403000000000001</v>
      </c>
      <c r="I33" s="2">
        <f t="shared" si="16"/>
        <v>3.0171117077653538</v>
      </c>
      <c r="J33" s="14">
        <f t="shared" si="4"/>
        <v>0.3</v>
      </c>
      <c r="K33" s="14">
        <f t="shared" si="5"/>
        <v>2.4653200000000002</v>
      </c>
      <c r="L33" s="14">
        <f t="shared" si="6"/>
        <v>-0.62256999999999996</v>
      </c>
      <c r="M33" s="14">
        <f t="shared" si="7"/>
        <v>-0.11656999999999999</v>
      </c>
      <c r="N33" s="2">
        <f t="shared" si="17"/>
        <v>2.9888952713513972</v>
      </c>
      <c r="O33" s="14">
        <f t="shared" si="8"/>
        <v>1.5733433743521876</v>
      </c>
      <c r="P33" s="29">
        <f>O33*A31*$P$6</f>
        <v>8.6376551251935094</v>
      </c>
      <c r="Q33" s="223" t="str">
        <f t="shared" si="9"/>
        <v>0.3%</v>
      </c>
      <c r="R33" s="224"/>
      <c r="S33" s="223" t="str">
        <f t="shared" si="10"/>
        <v>0.4%</v>
      </c>
      <c r="T33" s="224"/>
      <c r="U33" s="223" t="str">
        <f t="shared" si="11"/>
        <v>0.6%</v>
      </c>
      <c r="V33" s="224"/>
      <c r="W33" s="223" t="str">
        <f t="shared" si="12"/>
        <v>-</v>
      </c>
      <c r="X33" s="224"/>
      <c r="Y33" s="223" t="str">
        <f t="shared" si="13"/>
        <v>0.2%</v>
      </c>
      <c r="Z33" s="224"/>
      <c r="AA33" s="223" t="str">
        <f t="shared" si="14"/>
        <v>0.3%</v>
      </c>
      <c r="AB33" s="224"/>
    </row>
    <row r="34" spans="1:28" ht="18" customHeight="1" x14ac:dyDescent="0.3">
      <c r="A34" s="209"/>
      <c r="B34" s="91">
        <v>10</v>
      </c>
      <c r="C34" s="14">
        <f>C31</f>
        <v>540</v>
      </c>
      <c r="D34" s="14">
        <f t="shared" si="15"/>
        <v>0.08</v>
      </c>
      <c r="E34" s="14">
        <f t="shared" si="0"/>
        <v>0.1</v>
      </c>
      <c r="F34" s="14">
        <f t="shared" si="1"/>
        <v>2.5532300000000001</v>
      </c>
      <c r="G34" s="14">
        <f t="shared" si="2"/>
        <v>-0.61512</v>
      </c>
      <c r="H34" s="14">
        <f t="shared" si="3"/>
        <v>-0.16403000000000001</v>
      </c>
      <c r="I34" s="2">
        <f t="shared" si="16"/>
        <v>3.0305984922856934</v>
      </c>
      <c r="J34" s="14">
        <f t="shared" si="4"/>
        <v>0.3</v>
      </c>
      <c r="K34" s="14">
        <f t="shared" si="5"/>
        <v>2.4653200000000002</v>
      </c>
      <c r="L34" s="14">
        <f t="shared" si="6"/>
        <v>-0.62256999999999996</v>
      </c>
      <c r="M34" s="14">
        <f t="shared" si="7"/>
        <v>-0.11656999999999999</v>
      </c>
      <c r="N34" s="2">
        <f t="shared" si="17"/>
        <v>3.0079648933098118</v>
      </c>
      <c r="O34" s="14">
        <f t="shared" si="8"/>
        <v>1.6334344799518139</v>
      </c>
      <c r="P34" s="29">
        <f>O34*A31*$P$6</f>
        <v>8.9675552949354582</v>
      </c>
      <c r="Q34" s="223" t="str">
        <f t="shared" si="9"/>
        <v>0.3%</v>
      </c>
      <c r="R34" s="224"/>
      <c r="S34" s="223" t="str">
        <f t="shared" si="10"/>
        <v>0.4%</v>
      </c>
      <c r="T34" s="224"/>
      <c r="U34" s="223" t="str">
        <f t="shared" si="11"/>
        <v>0.6%</v>
      </c>
      <c r="V34" s="224"/>
      <c r="W34" s="223" t="str">
        <f t="shared" si="12"/>
        <v>-</v>
      </c>
      <c r="X34" s="224"/>
      <c r="Y34" s="223" t="str">
        <f t="shared" si="13"/>
        <v>0.2%</v>
      </c>
      <c r="Z34" s="224"/>
      <c r="AA34" s="223" t="str">
        <f t="shared" si="14"/>
        <v>0.3%</v>
      </c>
      <c r="AB34" s="224"/>
    </row>
    <row r="35" spans="1:28" ht="9.75" customHeight="1" x14ac:dyDescent="0.3"/>
    <row r="36" spans="1:28" x14ac:dyDescent="0.3">
      <c r="A36" s="7" t="s">
        <v>48</v>
      </c>
      <c r="Q36" s="9"/>
      <c r="R36" s="9"/>
    </row>
    <row r="37" spans="1:28" x14ac:dyDescent="0.3">
      <c r="A37" s="7" t="s">
        <v>51</v>
      </c>
      <c r="Q37" s="3"/>
      <c r="R37" s="3"/>
      <c r="S37" s="8"/>
      <c r="T37" s="8"/>
      <c r="U37" s="8"/>
      <c r="V37" s="8"/>
      <c r="W37" s="8"/>
      <c r="X37" s="8"/>
    </row>
    <row r="38" spans="1:28" x14ac:dyDescent="0.3">
      <c r="A38" s="7" t="s">
        <v>49</v>
      </c>
    </row>
    <row r="39" spans="1:28" x14ac:dyDescent="0.3">
      <c r="A39" s="7" t="s">
        <v>30</v>
      </c>
    </row>
    <row r="40" spans="1:28" ht="7.5" customHeight="1" x14ac:dyDescent="0.3"/>
    <row r="41" spans="1:28" ht="16.2" x14ac:dyDescent="0.3">
      <c r="A41" s="7" t="s">
        <v>25</v>
      </c>
    </row>
  </sheetData>
  <sheetProtection algorithmName="SHA-512" hashValue="h0dcxWDdhLs3ZjMLy5+Pj4Vg/6kQrQSsLyEeDyUQnVfaZ2OEtqjLKM5hs0291BbK4DV39wizILpoiQYX5ROBTA==" saltValue="I9OK5Z/ja4TM7MzyZd7NTQ==" spinCount="100000" sheet="1" objects="1" scenarios="1" selectLockedCells="1"/>
  <mergeCells count="180">
    <mergeCell ref="AA33:AB33"/>
    <mergeCell ref="Q34:R34"/>
    <mergeCell ref="S34:T34"/>
    <mergeCell ref="U34:V34"/>
    <mergeCell ref="W34:X34"/>
    <mergeCell ref="Y34:Z34"/>
    <mergeCell ref="AA34:AB34"/>
    <mergeCell ref="Q33:R33"/>
    <mergeCell ref="S33:T33"/>
    <mergeCell ref="U33:V33"/>
    <mergeCell ref="W33:X33"/>
    <mergeCell ref="Y33:Z33"/>
    <mergeCell ref="AA24:AB24"/>
    <mergeCell ref="Q25:R25"/>
    <mergeCell ref="S25:T25"/>
    <mergeCell ref="U25:V25"/>
    <mergeCell ref="W25:X25"/>
    <mergeCell ref="Y25:Z25"/>
    <mergeCell ref="AA25:AB25"/>
    <mergeCell ref="AA29:AB29"/>
    <mergeCell ref="Q32:R32"/>
    <mergeCell ref="S32:T32"/>
    <mergeCell ref="U32:V32"/>
    <mergeCell ref="W32:X32"/>
    <mergeCell ref="Y32:Z32"/>
    <mergeCell ref="AA32:AB32"/>
    <mergeCell ref="Q29:R29"/>
    <mergeCell ref="S29:T29"/>
    <mergeCell ref="U29:V29"/>
    <mergeCell ref="W29:X29"/>
    <mergeCell ref="Y29:Z29"/>
    <mergeCell ref="AA31:AB31"/>
    <mergeCell ref="Q31:R31"/>
    <mergeCell ref="S31:T31"/>
    <mergeCell ref="U31:V31"/>
    <mergeCell ref="W31:X31"/>
    <mergeCell ref="Y31:Z31"/>
    <mergeCell ref="W21:X21"/>
    <mergeCell ref="Y21:Z21"/>
    <mergeCell ref="Y22:Z22"/>
    <mergeCell ref="Q24:R24"/>
    <mergeCell ref="S24:T24"/>
    <mergeCell ref="U24:V24"/>
    <mergeCell ref="W24:X24"/>
    <mergeCell ref="Y24:Z24"/>
    <mergeCell ref="Q23:R23"/>
    <mergeCell ref="S23:T23"/>
    <mergeCell ref="U23:V23"/>
    <mergeCell ref="W23:X23"/>
    <mergeCell ref="Y23:Z23"/>
    <mergeCell ref="AA23:AB23"/>
    <mergeCell ref="W17:X17"/>
    <mergeCell ref="Y17:Z17"/>
    <mergeCell ref="AA17:AB17"/>
    <mergeCell ref="Q19:R19"/>
    <mergeCell ref="S19:T19"/>
    <mergeCell ref="U19:V19"/>
    <mergeCell ref="W19:X19"/>
    <mergeCell ref="Y19:Z19"/>
    <mergeCell ref="AA19:AB19"/>
    <mergeCell ref="Q17:R17"/>
    <mergeCell ref="S17:T17"/>
    <mergeCell ref="U17:V17"/>
    <mergeCell ref="AA18:AB18"/>
    <mergeCell ref="Q22:R22"/>
    <mergeCell ref="S22:T22"/>
    <mergeCell ref="U22:V22"/>
    <mergeCell ref="W22:X22"/>
    <mergeCell ref="AA22:AB22"/>
    <mergeCell ref="Q20:R20"/>
    <mergeCell ref="S20:T20"/>
    <mergeCell ref="U20:V20"/>
    <mergeCell ref="W20:X20"/>
    <mergeCell ref="Y20:Z20"/>
    <mergeCell ref="U13:V13"/>
    <mergeCell ref="W13:X13"/>
    <mergeCell ref="Y13:Z13"/>
    <mergeCell ref="AA13:AB13"/>
    <mergeCell ref="W15:X15"/>
    <mergeCell ref="Y15:Z15"/>
    <mergeCell ref="AA15:AB15"/>
    <mergeCell ref="S16:T16"/>
    <mergeCell ref="U16:V16"/>
    <mergeCell ref="W16:X16"/>
    <mergeCell ref="Y16:Z16"/>
    <mergeCell ref="AA16:AB16"/>
    <mergeCell ref="S15:T15"/>
    <mergeCell ref="U15:V15"/>
    <mergeCell ref="AA26:AB26"/>
    <mergeCell ref="Q30:R30"/>
    <mergeCell ref="S30:T30"/>
    <mergeCell ref="U30:V30"/>
    <mergeCell ref="W30:X30"/>
    <mergeCell ref="Y30:Z30"/>
    <mergeCell ref="AA30:AB30"/>
    <mergeCell ref="Q27:R27"/>
    <mergeCell ref="S27:T27"/>
    <mergeCell ref="U27:V27"/>
    <mergeCell ref="W27:X27"/>
    <mergeCell ref="Y27:Z27"/>
    <mergeCell ref="AA27:AB27"/>
    <mergeCell ref="W28:X28"/>
    <mergeCell ref="Y28:Z28"/>
    <mergeCell ref="AA28:AB28"/>
    <mergeCell ref="Q26:R26"/>
    <mergeCell ref="S26:T26"/>
    <mergeCell ref="U26:V26"/>
    <mergeCell ref="W26:X26"/>
    <mergeCell ref="Y26:Z26"/>
    <mergeCell ref="Q28:R28"/>
    <mergeCell ref="S28:T28"/>
    <mergeCell ref="U28:V28"/>
    <mergeCell ref="AA20:AB20"/>
    <mergeCell ref="Q21:R21"/>
    <mergeCell ref="S21:T21"/>
    <mergeCell ref="U21:V21"/>
    <mergeCell ref="AA21:AB21"/>
    <mergeCell ref="S18:T18"/>
    <mergeCell ref="U18:V18"/>
    <mergeCell ref="W18:X18"/>
    <mergeCell ref="Y18:Z18"/>
    <mergeCell ref="AA10:AB10"/>
    <mergeCell ref="Q14:R14"/>
    <mergeCell ref="S14:T14"/>
    <mergeCell ref="U14:V14"/>
    <mergeCell ref="W14:X14"/>
    <mergeCell ref="Y14:Z14"/>
    <mergeCell ref="AA14:AB14"/>
    <mergeCell ref="Q11:R11"/>
    <mergeCell ref="Q12:R12"/>
    <mergeCell ref="Q13:R13"/>
    <mergeCell ref="S11:T11"/>
    <mergeCell ref="U11:V11"/>
    <mergeCell ref="W11:X11"/>
    <mergeCell ref="Y11:Z11"/>
    <mergeCell ref="AA11:AB11"/>
    <mergeCell ref="S12:T12"/>
    <mergeCell ref="Q10:R10"/>
    <mergeCell ref="S10:T10"/>
    <mergeCell ref="U10:V10"/>
    <mergeCell ref="U12:V12"/>
    <mergeCell ref="W12:X12"/>
    <mergeCell ref="Y12:Z12"/>
    <mergeCell ref="AA12:AB12"/>
    <mergeCell ref="S13:T13"/>
    <mergeCell ref="G9:G10"/>
    <mergeCell ref="H9:H10"/>
    <mergeCell ref="I9:I10"/>
    <mergeCell ref="J9:J10"/>
    <mergeCell ref="K9:K10"/>
    <mergeCell ref="L9:L10"/>
    <mergeCell ref="M9:M10"/>
    <mergeCell ref="N9:N10"/>
    <mergeCell ref="Q18:R18"/>
    <mergeCell ref="Q15:R15"/>
    <mergeCell ref="Q16:R16"/>
    <mergeCell ref="A31:A34"/>
    <mergeCell ref="A1:AB1"/>
    <mergeCell ref="Q3:R3"/>
    <mergeCell ref="Q6:AB6"/>
    <mergeCell ref="A8:A9"/>
    <mergeCell ref="B8:B9"/>
    <mergeCell ref="P8:P9"/>
    <mergeCell ref="Q8:AB8"/>
    <mergeCell ref="Q9:V9"/>
    <mergeCell ref="W9:AB9"/>
    <mergeCell ref="A11:A14"/>
    <mergeCell ref="A15:A18"/>
    <mergeCell ref="A19:A22"/>
    <mergeCell ref="A23:A26"/>
    <mergeCell ref="A27:A30"/>
    <mergeCell ref="C8:C9"/>
    <mergeCell ref="W10:X10"/>
    <mergeCell ref="Y10:Z10"/>
    <mergeCell ref="D8:D9"/>
    <mergeCell ref="E8:I8"/>
    <mergeCell ref="J8:N8"/>
    <mergeCell ref="O8:O9"/>
    <mergeCell ref="E9:E10"/>
    <mergeCell ref="F9:F10"/>
  </mergeCells>
  <dataValidations count="1">
    <dataValidation type="whole" allowBlank="1" showInputMessage="1" showErrorMessage="1" errorTitle="RCN Error" error="RCN must be a whole number between 40 and 95" sqref="P5" xr:uid="{00000000-0002-0000-0400-000000000000}">
      <formula1>40</formula1>
      <formula2>95</formula2>
    </dataValidation>
  </dataValidations>
  <pageMargins left="0.7" right="0.7" top="0.75" bottom="0.75" header="0.3" footer="0.3"/>
  <pageSetup scale="72" orientation="landscape" verticalDpi="0" r:id="rId1"/>
  <headerFooter>
    <oddHeader>&amp;LNRCS Nebraska&amp;R10/2016</oddHeader>
  </headerFooter>
  <rowBreaks count="1" manualBreakCount="1">
    <brk id="57" max="8"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County!$B$1:$E$1</xm:f>
          </x14:formula1>
          <xm:sqref>T3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41"/>
  <sheetViews>
    <sheetView showGridLines="0" showRowColHeaders="0" zoomScale="90" zoomScaleNormal="90" zoomScaleSheetLayoutView="102" workbookViewId="0">
      <selection activeCell="P5" sqref="P5"/>
    </sheetView>
  </sheetViews>
  <sheetFormatPr defaultRowHeight="14.4" x14ac:dyDescent="0.3"/>
  <cols>
    <col min="1" max="1" width="13.5546875" customWidth="1"/>
    <col min="2" max="2" width="19" customWidth="1"/>
    <col min="3" max="4" width="19" hidden="1" customWidth="1"/>
    <col min="5" max="14" width="5.6640625" hidden="1" customWidth="1"/>
    <col min="15" max="15" width="19" hidden="1" customWidth="1"/>
    <col min="16" max="16" width="14.44140625" customWidth="1"/>
    <col min="17" max="17" width="10.6640625" customWidth="1"/>
    <col min="18" max="18" width="8.33203125" customWidth="1"/>
    <col min="19" max="19" width="10.6640625" customWidth="1"/>
    <col min="20" max="20" width="8.33203125" customWidth="1"/>
    <col min="21" max="21" width="10.6640625" customWidth="1"/>
    <col min="22" max="22" width="8.33203125" customWidth="1"/>
    <col min="23" max="23" width="10.6640625" customWidth="1"/>
    <col min="24" max="24" width="8.33203125" customWidth="1"/>
    <col min="25" max="25" width="10.6640625" customWidth="1"/>
    <col min="26" max="26" width="8.33203125" customWidth="1"/>
    <col min="27" max="27" width="10.6640625" customWidth="1"/>
    <col min="28" max="28" width="8.33203125" customWidth="1"/>
  </cols>
  <sheetData>
    <row r="1" spans="1:41" ht="18" customHeight="1" x14ac:dyDescent="0.4">
      <c r="A1" s="211" t="s">
        <v>219</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row>
    <row r="2" spans="1:41" ht="13.5" customHeight="1" x14ac:dyDescent="0.3"/>
    <row r="3" spans="1:41" ht="18" customHeight="1" x14ac:dyDescent="0.3">
      <c r="B3" s="13" t="s">
        <v>57</v>
      </c>
      <c r="C3" s="13"/>
      <c r="D3" s="13"/>
      <c r="E3" s="13" t="s">
        <v>97</v>
      </c>
      <c r="F3" s="13">
        <f>MATCH(T3,County!B1:H1)</f>
        <v>2</v>
      </c>
      <c r="G3" s="13"/>
      <c r="H3" s="13"/>
      <c r="I3" s="13"/>
      <c r="J3" s="13"/>
      <c r="K3" s="13"/>
      <c r="L3" s="13"/>
      <c r="M3" s="13"/>
      <c r="N3" s="13"/>
      <c r="O3" s="13"/>
      <c r="P3" s="117" t="str">
        <f>'Field Worksheet'!B7</f>
        <v>PLATTE</v>
      </c>
      <c r="Q3" s="212">
        <f>VLOOKUP(P3,County!A2:H115,F3+1)</f>
        <v>2.83</v>
      </c>
      <c r="R3" s="213"/>
      <c r="S3" t="s">
        <v>95</v>
      </c>
      <c r="T3" s="39">
        <v>2</v>
      </c>
      <c r="U3" s="9" t="s">
        <v>96</v>
      </c>
      <c r="AO3" s="19" t="e">
        <f>VLOOKUP(P3,RainfallZones,3)</f>
        <v>#NAME?</v>
      </c>
    </row>
    <row r="4" spans="1:41" ht="18" customHeight="1" x14ac:dyDescent="0.3"/>
    <row r="5" spans="1:41" ht="18" customHeight="1" x14ac:dyDescent="0.3">
      <c r="B5" s="5" t="s">
        <v>16</v>
      </c>
      <c r="C5" s="5"/>
      <c r="E5" s="5" t="s">
        <v>86</v>
      </c>
      <c r="F5" s="8">
        <f>MIN(MAX(ROUNDUP(0.2*((1000/$P$5)-10)/$Q$3,2),0.1),0.5)</f>
        <v>0.1</v>
      </c>
      <c r="G5" s="5"/>
      <c r="H5" s="5"/>
      <c r="I5" s="5"/>
      <c r="J5" s="5"/>
      <c r="K5" s="5"/>
      <c r="L5" s="5"/>
      <c r="M5" s="5"/>
      <c r="N5" s="5"/>
      <c r="O5" s="5"/>
      <c r="P5" s="30">
        <v>88</v>
      </c>
      <c r="Q5" s="17" t="s">
        <v>24</v>
      </c>
    </row>
    <row r="6" spans="1:41" ht="18" customHeight="1" x14ac:dyDescent="0.3">
      <c r="B6" s="5"/>
      <c r="C6" s="5"/>
      <c r="D6" s="5"/>
      <c r="E6" s="5" t="s">
        <v>94</v>
      </c>
      <c r="F6" s="5"/>
      <c r="G6" s="5"/>
      <c r="H6" s="5"/>
      <c r="I6" s="5"/>
      <c r="J6" s="5" t="s">
        <v>93</v>
      </c>
      <c r="K6" s="5"/>
      <c r="L6" s="5"/>
      <c r="M6" s="5"/>
      <c r="N6" s="5"/>
      <c r="P6" s="2">
        <f>ROUNDUP(($Q$3-(0.2*(1000/$P$5-10)))^2/($Q$3+0.8*(1000/$P$5-10)),2)</f>
        <v>1.67</v>
      </c>
      <c r="Q6" s="214" t="s">
        <v>98</v>
      </c>
      <c r="R6" s="214"/>
      <c r="S6" s="214"/>
      <c r="T6" s="214"/>
      <c r="U6" s="214"/>
      <c r="V6" s="214"/>
      <c r="W6" s="214"/>
      <c r="X6" s="214"/>
      <c r="Y6" s="214"/>
      <c r="Z6" s="214"/>
      <c r="AA6" s="214"/>
      <c r="AB6" s="214"/>
    </row>
    <row r="7" spans="1:41" ht="18" customHeight="1" x14ac:dyDescent="0.3">
      <c r="E7" s="14">
        <f>IFERROR(MATCH(my_Iap,IaP_List,1),1)</f>
        <v>1</v>
      </c>
      <c r="J7">
        <f>IF(OR(my_Iap=0.1,my_Iap=0.5),Row_1,Row_1+1)</f>
        <v>2</v>
      </c>
      <c r="P7" s="10"/>
      <c r="Q7" s="9"/>
      <c r="R7" s="9"/>
    </row>
    <row r="8" spans="1:41" ht="18" customHeight="1" x14ac:dyDescent="0.3">
      <c r="A8" s="219" t="s">
        <v>17</v>
      </c>
      <c r="B8" s="217" t="s">
        <v>18</v>
      </c>
      <c r="C8" s="222" t="s">
        <v>80</v>
      </c>
      <c r="D8" s="222" t="s">
        <v>81</v>
      </c>
      <c r="E8" s="202" t="s">
        <v>94</v>
      </c>
      <c r="F8" s="202"/>
      <c r="G8" s="202"/>
      <c r="H8" s="202"/>
      <c r="I8" s="203"/>
      <c r="J8" s="202" t="s">
        <v>93</v>
      </c>
      <c r="K8" s="202"/>
      <c r="L8" s="202"/>
      <c r="M8" s="202"/>
      <c r="N8" s="203"/>
      <c r="O8" s="222" t="s">
        <v>83</v>
      </c>
      <c r="P8" s="215" t="s">
        <v>19</v>
      </c>
      <c r="Q8" s="221" t="s">
        <v>227</v>
      </c>
      <c r="R8" s="221"/>
      <c r="S8" s="221"/>
      <c r="T8" s="221"/>
      <c r="U8" s="221"/>
      <c r="V8" s="221"/>
      <c r="W8" s="221"/>
      <c r="X8" s="221"/>
      <c r="Y8" s="221"/>
      <c r="Z8" s="221"/>
      <c r="AA8" s="221"/>
      <c r="AB8" s="221"/>
    </row>
    <row r="9" spans="1:41" ht="18" customHeight="1" x14ac:dyDescent="0.3">
      <c r="A9" s="218"/>
      <c r="B9" s="218"/>
      <c r="C9" s="204"/>
      <c r="D9" s="204"/>
      <c r="E9" s="204" t="s">
        <v>91</v>
      </c>
      <c r="F9" s="204" t="s">
        <v>87</v>
      </c>
      <c r="G9" s="204" t="s">
        <v>88</v>
      </c>
      <c r="H9" s="204" t="s">
        <v>89</v>
      </c>
      <c r="I9" s="204" t="s">
        <v>92</v>
      </c>
      <c r="J9" s="204" t="s">
        <v>91</v>
      </c>
      <c r="K9" s="204" t="s">
        <v>87</v>
      </c>
      <c r="L9" s="204" t="s">
        <v>88</v>
      </c>
      <c r="M9" s="204" t="s">
        <v>89</v>
      </c>
      <c r="N9" s="204" t="s">
        <v>92</v>
      </c>
      <c r="O9" s="204"/>
      <c r="P9" s="216"/>
      <c r="Q9" s="220" t="s">
        <v>26</v>
      </c>
      <c r="R9" s="220"/>
      <c r="S9" s="220"/>
      <c r="T9" s="220"/>
      <c r="U9" s="220"/>
      <c r="V9" s="220"/>
      <c r="W9" s="220" t="s">
        <v>52</v>
      </c>
      <c r="X9" s="220"/>
      <c r="Y9" s="220"/>
      <c r="Z9" s="220"/>
      <c r="AA9" s="220"/>
      <c r="AB9" s="220"/>
    </row>
    <row r="10" spans="1:41" ht="18" customHeight="1" x14ac:dyDescent="0.3">
      <c r="A10" s="4" t="s">
        <v>13</v>
      </c>
      <c r="B10" s="4" t="s">
        <v>14</v>
      </c>
      <c r="C10" s="14" t="s">
        <v>79</v>
      </c>
      <c r="D10" s="14" t="s">
        <v>82</v>
      </c>
      <c r="E10" s="205"/>
      <c r="F10" s="205"/>
      <c r="G10" s="205"/>
      <c r="H10" s="205"/>
      <c r="I10" s="205"/>
      <c r="J10" s="205"/>
      <c r="K10" s="205"/>
      <c r="L10" s="205"/>
      <c r="M10" s="205"/>
      <c r="N10" s="205"/>
      <c r="O10" s="14" t="s">
        <v>84</v>
      </c>
      <c r="P10" s="14" t="s">
        <v>0</v>
      </c>
      <c r="Q10" s="200" t="s">
        <v>223</v>
      </c>
      <c r="R10" s="201"/>
      <c r="S10" s="200" t="s">
        <v>224</v>
      </c>
      <c r="T10" s="201"/>
      <c r="U10" s="200" t="s">
        <v>225</v>
      </c>
      <c r="V10" s="201"/>
      <c r="W10" s="200" t="s">
        <v>223</v>
      </c>
      <c r="X10" s="201"/>
      <c r="Y10" s="200" t="s">
        <v>224</v>
      </c>
      <c r="Z10" s="201"/>
      <c r="AA10" s="200" t="s">
        <v>225</v>
      </c>
      <c r="AB10" s="201"/>
    </row>
    <row r="11" spans="1:41" ht="18" customHeight="1" x14ac:dyDescent="0.3">
      <c r="A11" s="210">
        <v>2</v>
      </c>
      <c r="B11" s="87">
        <v>4</v>
      </c>
      <c r="C11" s="38">
        <f>ROUND(1.5*SQRT(A11*43560)/10,0)*10</f>
        <v>440</v>
      </c>
      <c r="D11" s="38">
        <f>ROUNDUP((C11^0.8)*(((1000/$P$5)-9)^0.7)/(1140*B11^0.5),2)</f>
        <v>0.11</v>
      </c>
      <c r="E11" s="38">
        <f t="shared" ref="E11:E34" si="0">INDEX(IaP_List,Row_1)</f>
        <v>0.1</v>
      </c>
      <c r="F11" s="38">
        <f t="shared" ref="F11:F34" si="1">INDEX(Coeff0_List,Row_1)</f>
        <v>2.5532300000000001</v>
      </c>
      <c r="G11" s="38">
        <f t="shared" ref="G11:G34" si="2">INDEX(Coeff1_List,Row_1)</f>
        <v>-0.61512</v>
      </c>
      <c r="H11" s="38">
        <f t="shared" ref="H11:H34" si="3">INDEX(Coeff2_List,Row_1)</f>
        <v>-0.16403000000000001</v>
      </c>
      <c r="I11" s="2">
        <f>F11+(G11*LOG($D11))+(H11*LOG($D11)^2)</f>
        <v>2.9921567742787727</v>
      </c>
      <c r="J11" s="38">
        <f t="shared" ref="J11:J34" si="4">INDEX(IaP_List,Row_2)</f>
        <v>0.3</v>
      </c>
      <c r="K11" s="38">
        <f t="shared" ref="K11:K34" si="5">INDEX(Coeff0_List,Row_2)</f>
        <v>2.4653200000000002</v>
      </c>
      <c r="L11" s="38">
        <f t="shared" ref="L11:L34" si="6">INDEX(Coeff1_List,Row_2)</f>
        <v>-0.62256999999999996</v>
      </c>
      <c r="M11" s="38">
        <f t="shared" ref="M11:M34" si="7">INDEX(Coeff2_List,Row_2)</f>
        <v>-0.11656999999999999</v>
      </c>
      <c r="N11" s="2">
        <f>K11+(L11*LOG($D11))+(M11*LOG($D11)^2)</f>
        <v>2.955000720898219</v>
      </c>
      <c r="O11" s="38">
        <f t="shared" ref="O11:O34" si="8">10^(IF(Row_1=Row_2,$I11,((N11-I11)*((E11-my_Iap)/(E11-J11))+I11)))/640</f>
        <v>1.470275680095259</v>
      </c>
      <c r="P11" s="29">
        <f>O11*A11*$P$6</f>
        <v>4.9107207715181644</v>
      </c>
      <c r="Q11" s="194" t="str">
        <f t="shared" ref="Q11:Q34" si="9">IF(VLOOKUP($P11,MulchErosResBedS,2,TRUE)&gt;0,VLOOKUP($P11,MulchErosResBedS,2,TRUE)&amp;"%","-")</f>
        <v>1.5%</v>
      </c>
      <c r="R11" s="195"/>
      <c r="S11" s="194" t="str">
        <f t="shared" ref="S11:S34" si="10">IF(VLOOKUP($P11,MulchErosResBedS,4,TRUE)&gt;0,VLOOKUP($P11,MulchErosResBedS,4,TRUE)&amp;"%","-")</f>
        <v>2.1%</v>
      </c>
      <c r="T11" s="195"/>
      <c r="U11" s="194" t="str">
        <f t="shared" ref="U11:U34" si="11">IF(VLOOKUP($P11,MulchErosResBedS,6,TRUE)&gt;0,VLOOKUP($P11,MulchErosResBedS,6,TRUE)&amp;"%","-")</f>
        <v>2.8%</v>
      </c>
      <c r="V11" s="195"/>
      <c r="W11" s="194" t="str">
        <f t="shared" ref="W11:W34" si="12">IF(VLOOKUP($P11,MulchErodibleBedS,2,TRUE)&gt;0,VLOOKUP($P11,MulchErodibleBedS,2,TRUE)&amp;"%","-")</f>
        <v>0.7%</v>
      </c>
      <c r="X11" s="195"/>
      <c r="Y11" s="194" t="str">
        <f t="shared" ref="Y11:Y34" si="13">IF(VLOOKUP($P11,MulchErodibleBedS,4,TRUE)&gt;0,VLOOKUP($P11,MulchErodibleBedS,4,TRUE)&amp;"%","-")</f>
        <v>1%</v>
      </c>
      <c r="Z11" s="195"/>
      <c r="AA11" s="194" t="str">
        <f t="shared" ref="AA11:AA34" si="14">IF(VLOOKUP($P11,MulchErodibleBedS,6,TRUE)&gt;0,VLOOKUP($P11,MulchErodibleBedS,6,TRUE)&amp;"%","-")</f>
        <v>1.3%</v>
      </c>
      <c r="AB11" s="195"/>
    </row>
    <row r="12" spans="1:41" ht="18" customHeight="1" x14ac:dyDescent="0.3">
      <c r="A12" s="207"/>
      <c r="B12" s="88">
        <v>6</v>
      </c>
      <c r="C12" s="14">
        <f>C11</f>
        <v>440</v>
      </c>
      <c r="D12" s="14">
        <f t="shared" ref="D12:D34" si="15">ROUNDUP((C12^0.8)*(((1000/$P$5)-9)^0.7)/(1140*B12^0.5),2)</f>
        <v>0.09</v>
      </c>
      <c r="E12" s="14">
        <f t="shared" si="0"/>
        <v>0.1</v>
      </c>
      <c r="F12" s="14">
        <f t="shared" si="1"/>
        <v>2.5532300000000001</v>
      </c>
      <c r="G12" s="14">
        <f t="shared" si="2"/>
        <v>-0.61512</v>
      </c>
      <c r="H12" s="14">
        <f t="shared" si="3"/>
        <v>-0.16403000000000001</v>
      </c>
      <c r="I12" s="2">
        <f t="shared" ref="I12:I34" si="16">F12+(G12*LOG($D12))+(H12*LOG($D12)^2)</f>
        <v>3.0171117077653538</v>
      </c>
      <c r="J12" s="14">
        <f t="shared" si="4"/>
        <v>0.3</v>
      </c>
      <c r="K12" s="14">
        <f t="shared" si="5"/>
        <v>2.4653200000000002</v>
      </c>
      <c r="L12" s="14">
        <f t="shared" si="6"/>
        <v>-0.62256999999999996</v>
      </c>
      <c r="M12" s="14">
        <f t="shared" si="7"/>
        <v>-0.11656999999999999</v>
      </c>
      <c r="N12" s="2">
        <f t="shared" ref="N12:N34" si="17">K12+(L12*LOG($D12))+(M12*LOG($D12)^2)</f>
        <v>2.9888952713513972</v>
      </c>
      <c r="O12" s="14">
        <f t="shared" si="8"/>
        <v>1.5733433743521876</v>
      </c>
      <c r="P12" s="29">
        <f>O12*A11*$P$6</f>
        <v>5.2549668703363066</v>
      </c>
      <c r="Q12" s="194" t="str">
        <f t="shared" si="9"/>
        <v>1.2%</v>
      </c>
      <c r="R12" s="195"/>
      <c r="S12" s="194" t="str">
        <f t="shared" si="10"/>
        <v>1.8%</v>
      </c>
      <c r="T12" s="195"/>
      <c r="U12" s="194" t="str">
        <f t="shared" si="11"/>
        <v>2.3%</v>
      </c>
      <c r="V12" s="195"/>
      <c r="W12" s="194" t="str">
        <f t="shared" si="12"/>
        <v>0.6%</v>
      </c>
      <c r="X12" s="195"/>
      <c r="Y12" s="194" t="str">
        <f t="shared" si="13"/>
        <v>0.8%</v>
      </c>
      <c r="Z12" s="195"/>
      <c r="AA12" s="194" t="str">
        <f t="shared" si="14"/>
        <v>1.1%</v>
      </c>
      <c r="AB12" s="195"/>
    </row>
    <row r="13" spans="1:41" ht="18" customHeight="1" x14ac:dyDescent="0.3">
      <c r="A13" s="207"/>
      <c r="B13" s="88">
        <v>8</v>
      </c>
      <c r="C13" s="14">
        <f>C11</f>
        <v>440</v>
      </c>
      <c r="D13" s="14">
        <f t="shared" si="15"/>
        <v>0.08</v>
      </c>
      <c r="E13" s="14">
        <f t="shared" si="0"/>
        <v>0.1</v>
      </c>
      <c r="F13" s="14">
        <f t="shared" si="1"/>
        <v>2.5532300000000001</v>
      </c>
      <c r="G13" s="14">
        <f t="shared" si="2"/>
        <v>-0.61512</v>
      </c>
      <c r="H13" s="14">
        <f t="shared" si="3"/>
        <v>-0.16403000000000001</v>
      </c>
      <c r="I13" s="2">
        <f t="shared" si="16"/>
        <v>3.0305984922856934</v>
      </c>
      <c r="J13" s="14">
        <f t="shared" si="4"/>
        <v>0.3</v>
      </c>
      <c r="K13" s="14">
        <f t="shared" si="5"/>
        <v>2.4653200000000002</v>
      </c>
      <c r="L13" s="14">
        <f t="shared" si="6"/>
        <v>-0.62256999999999996</v>
      </c>
      <c r="M13" s="14">
        <f t="shared" si="7"/>
        <v>-0.11656999999999999</v>
      </c>
      <c r="N13" s="2">
        <f t="shared" si="17"/>
        <v>3.0079648933098118</v>
      </c>
      <c r="O13" s="14">
        <f t="shared" si="8"/>
        <v>1.6334344799518139</v>
      </c>
      <c r="P13" s="29">
        <f>O13*A11*$P$6</f>
        <v>5.4556711630390584</v>
      </c>
      <c r="Q13" s="194" t="str">
        <f t="shared" si="9"/>
        <v>1.2%</v>
      </c>
      <c r="R13" s="195"/>
      <c r="S13" s="194" t="str">
        <f t="shared" si="10"/>
        <v>1.8%</v>
      </c>
      <c r="T13" s="195"/>
      <c r="U13" s="194" t="str">
        <f t="shared" si="11"/>
        <v>2.3%</v>
      </c>
      <c r="V13" s="195"/>
      <c r="W13" s="194" t="str">
        <f t="shared" si="12"/>
        <v>0.6%</v>
      </c>
      <c r="X13" s="195"/>
      <c r="Y13" s="194" t="str">
        <f t="shared" si="13"/>
        <v>0.8%</v>
      </c>
      <c r="Z13" s="195"/>
      <c r="AA13" s="194" t="str">
        <f t="shared" si="14"/>
        <v>1.1%</v>
      </c>
      <c r="AB13" s="195"/>
    </row>
    <row r="14" spans="1:41" ht="18" customHeight="1" thickBot="1" x14ac:dyDescent="0.35">
      <c r="A14" s="208"/>
      <c r="B14" s="89">
        <v>10</v>
      </c>
      <c r="C14" s="33">
        <f>C11</f>
        <v>440</v>
      </c>
      <c r="D14" s="33">
        <f t="shared" si="15"/>
        <v>6.9999999999999993E-2</v>
      </c>
      <c r="E14" s="33">
        <f t="shared" si="0"/>
        <v>0.1</v>
      </c>
      <c r="F14" s="33">
        <f t="shared" si="1"/>
        <v>2.5532300000000001</v>
      </c>
      <c r="G14" s="33">
        <f t="shared" si="2"/>
        <v>-0.61512</v>
      </c>
      <c r="H14" s="33">
        <f t="shared" si="3"/>
        <v>-0.16403000000000001</v>
      </c>
      <c r="I14" s="6">
        <f t="shared" si="16"/>
        <v>3.0448503195729733</v>
      </c>
      <c r="J14" s="33">
        <f t="shared" si="4"/>
        <v>0.3</v>
      </c>
      <c r="K14" s="33">
        <f t="shared" si="5"/>
        <v>2.4653200000000002</v>
      </c>
      <c r="L14" s="33">
        <f t="shared" si="6"/>
        <v>-0.62256999999999996</v>
      </c>
      <c r="M14" s="33">
        <f t="shared" si="7"/>
        <v>-0.11656999999999999</v>
      </c>
      <c r="N14" s="6">
        <f t="shared" si="17"/>
        <v>3.0288464177493788</v>
      </c>
      <c r="O14" s="33">
        <f t="shared" si="8"/>
        <v>1.7008593222227677</v>
      </c>
      <c r="P14" s="34">
        <f>O14*A11*$P$6</f>
        <v>5.6808701362240441</v>
      </c>
      <c r="Q14" s="198" t="str">
        <f t="shared" si="9"/>
        <v>1.2%</v>
      </c>
      <c r="R14" s="199"/>
      <c r="S14" s="198" t="str">
        <f t="shared" si="10"/>
        <v>1.8%</v>
      </c>
      <c r="T14" s="199"/>
      <c r="U14" s="198" t="str">
        <f t="shared" si="11"/>
        <v>2.3%</v>
      </c>
      <c r="V14" s="199"/>
      <c r="W14" s="198" t="str">
        <f t="shared" si="12"/>
        <v>0.6%</v>
      </c>
      <c r="X14" s="199"/>
      <c r="Y14" s="198" t="str">
        <f t="shared" si="13"/>
        <v>0.8%</v>
      </c>
      <c r="Z14" s="199"/>
      <c r="AA14" s="198" t="str">
        <f t="shared" si="14"/>
        <v>1.1%</v>
      </c>
      <c r="AB14" s="199"/>
    </row>
    <row r="15" spans="1:41" ht="18" customHeight="1" x14ac:dyDescent="0.3">
      <c r="A15" s="206">
        <v>3</v>
      </c>
      <c r="B15" s="90">
        <v>4</v>
      </c>
      <c r="C15" s="35">
        <f>ROUND(1.5*SQRT(A15*43560)/10,0)*10</f>
        <v>540</v>
      </c>
      <c r="D15" s="35">
        <f t="shared" si="15"/>
        <v>0.13</v>
      </c>
      <c r="E15" s="35">
        <f t="shared" si="0"/>
        <v>0.1</v>
      </c>
      <c r="F15" s="35">
        <f t="shared" si="1"/>
        <v>2.5532300000000001</v>
      </c>
      <c r="G15" s="35">
        <f t="shared" si="2"/>
        <v>-0.61512</v>
      </c>
      <c r="H15" s="35">
        <f t="shared" si="3"/>
        <v>-0.16403000000000001</v>
      </c>
      <c r="I15" s="36">
        <f t="shared" si="16"/>
        <v>2.9694818054384466</v>
      </c>
      <c r="J15" s="35">
        <f t="shared" si="4"/>
        <v>0.3</v>
      </c>
      <c r="K15" s="35">
        <f t="shared" si="5"/>
        <v>2.4653200000000002</v>
      </c>
      <c r="L15" s="35">
        <f t="shared" si="6"/>
        <v>-0.62256999999999996</v>
      </c>
      <c r="M15" s="35">
        <f t="shared" si="7"/>
        <v>-0.11656999999999999</v>
      </c>
      <c r="N15" s="36">
        <f t="shared" si="17"/>
        <v>2.9254336017972031</v>
      </c>
      <c r="O15" s="35">
        <f t="shared" si="8"/>
        <v>1.3844514472646661</v>
      </c>
      <c r="P15" s="37">
        <f>O15*A15*$P$6</f>
        <v>6.9361017507959764</v>
      </c>
      <c r="Q15" s="196" t="str">
        <f t="shared" si="9"/>
        <v>1%</v>
      </c>
      <c r="R15" s="197"/>
      <c r="S15" s="196" t="str">
        <f t="shared" si="10"/>
        <v>1.5%</v>
      </c>
      <c r="T15" s="197"/>
      <c r="U15" s="196" t="str">
        <f t="shared" si="11"/>
        <v>1.9%</v>
      </c>
      <c r="V15" s="197"/>
      <c r="W15" s="196" t="str">
        <f t="shared" si="12"/>
        <v>0.5%</v>
      </c>
      <c r="X15" s="197"/>
      <c r="Y15" s="196" t="str">
        <f t="shared" si="13"/>
        <v>0.7%</v>
      </c>
      <c r="Z15" s="197"/>
      <c r="AA15" s="196" t="str">
        <f t="shared" si="14"/>
        <v>0.9%</v>
      </c>
      <c r="AB15" s="197"/>
    </row>
    <row r="16" spans="1:41" ht="18" customHeight="1" x14ac:dyDescent="0.3">
      <c r="A16" s="207"/>
      <c r="B16" s="91">
        <v>6</v>
      </c>
      <c r="C16" s="14">
        <f>C15</f>
        <v>540</v>
      </c>
      <c r="D16" s="14">
        <f t="shared" si="15"/>
        <v>0.11</v>
      </c>
      <c r="E16" s="14">
        <f t="shared" si="0"/>
        <v>0.1</v>
      </c>
      <c r="F16" s="14">
        <f t="shared" si="1"/>
        <v>2.5532300000000001</v>
      </c>
      <c r="G16" s="14">
        <f t="shared" si="2"/>
        <v>-0.61512</v>
      </c>
      <c r="H16" s="14">
        <f t="shared" si="3"/>
        <v>-0.16403000000000001</v>
      </c>
      <c r="I16" s="2">
        <f t="shared" si="16"/>
        <v>2.9921567742787727</v>
      </c>
      <c r="J16" s="14">
        <f t="shared" si="4"/>
        <v>0.3</v>
      </c>
      <c r="K16" s="14">
        <f t="shared" si="5"/>
        <v>2.4653200000000002</v>
      </c>
      <c r="L16" s="14">
        <f t="shared" si="6"/>
        <v>-0.62256999999999996</v>
      </c>
      <c r="M16" s="14">
        <f t="shared" si="7"/>
        <v>-0.11656999999999999</v>
      </c>
      <c r="N16" s="2">
        <f t="shared" si="17"/>
        <v>2.955000720898219</v>
      </c>
      <c r="O16" s="14">
        <f t="shared" si="8"/>
        <v>1.470275680095259</v>
      </c>
      <c r="P16" s="29">
        <f>O16*A15*$P$6</f>
        <v>7.3660811572772467</v>
      </c>
      <c r="Q16" s="194" t="str">
        <f t="shared" si="9"/>
        <v>0.9%</v>
      </c>
      <c r="R16" s="195"/>
      <c r="S16" s="194" t="str">
        <f t="shared" si="10"/>
        <v>1.3%</v>
      </c>
      <c r="T16" s="195"/>
      <c r="U16" s="194" t="str">
        <f t="shared" si="11"/>
        <v>1.7%</v>
      </c>
      <c r="V16" s="195"/>
      <c r="W16" s="194" t="str">
        <f t="shared" si="12"/>
        <v>0.4%</v>
      </c>
      <c r="X16" s="195"/>
      <c r="Y16" s="194" t="str">
        <f t="shared" si="13"/>
        <v>0.6%</v>
      </c>
      <c r="Z16" s="195"/>
      <c r="AA16" s="194" t="str">
        <f t="shared" si="14"/>
        <v>0.8%</v>
      </c>
      <c r="AB16" s="195"/>
    </row>
    <row r="17" spans="1:28" ht="18" customHeight="1" x14ac:dyDescent="0.3">
      <c r="A17" s="207"/>
      <c r="B17" s="91">
        <v>8</v>
      </c>
      <c r="C17" s="14">
        <f>C15</f>
        <v>540</v>
      </c>
      <c r="D17" s="14">
        <f t="shared" si="15"/>
        <v>0.09</v>
      </c>
      <c r="E17" s="14">
        <f t="shared" si="0"/>
        <v>0.1</v>
      </c>
      <c r="F17" s="14">
        <f t="shared" si="1"/>
        <v>2.5532300000000001</v>
      </c>
      <c r="G17" s="14">
        <f t="shared" si="2"/>
        <v>-0.61512</v>
      </c>
      <c r="H17" s="14">
        <f t="shared" si="3"/>
        <v>-0.16403000000000001</v>
      </c>
      <c r="I17" s="2">
        <f t="shared" si="16"/>
        <v>3.0171117077653538</v>
      </c>
      <c r="J17" s="14">
        <f t="shared" si="4"/>
        <v>0.3</v>
      </c>
      <c r="K17" s="14">
        <f t="shared" si="5"/>
        <v>2.4653200000000002</v>
      </c>
      <c r="L17" s="14">
        <f t="shared" si="6"/>
        <v>-0.62256999999999996</v>
      </c>
      <c r="M17" s="14">
        <f t="shared" si="7"/>
        <v>-0.11656999999999999</v>
      </c>
      <c r="N17" s="2">
        <f t="shared" si="17"/>
        <v>2.9888952713513972</v>
      </c>
      <c r="O17" s="14">
        <f t="shared" si="8"/>
        <v>1.5733433743521876</v>
      </c>
      <c r="P17" s="29">
        <f>O17*A15*$P$6</f>
        <v>7.8824503055044595</v>
      </c>
      <c r="Q17" s="194" t="str">
        <f t="shared" si="9"/>
        <v>0.9%</v>
      </c>
      <c r="R17" s="195"/>
      <c r="S17" s="194" t="str">
        <f t="shared" si="10"/>
        <v>1.3%</v>
      </c>
      <c r="T17" s="195"/>
      <c r="U17" s="194" t="str">
        <f t="shared" si="11"/>
        <v>1.7%</v>
      </c>
      <c r="V17" s="195"/>
      <c r="W17" s="194" t="str">
        <f t="shared" si="12"/>
        <v>0.4%</v>
      </c>
      <c r="X17" s="195"/>
      <c r="Y17" s="194" t="str">
        <f t="shared" si="13"/>
        <v>0.6%</v>
      </c>
      <c r="Z17" s="195"/>
      <c r="AA17" s="194" t="str">
        <f t="shared" si="14"/>
        <v>0.8%</v>
      </c>
      <c r="AB17" s="195"/>
    </row>
    <row r="18" spans="1:28" ht="18" customHeight="1" thickBot="1" x14ac:dyDescent="0.35">
      <c r="A18" s="208"/>
      <c r="B18" s="92">
        <v>10</v>
      </c>
      <c r="C18" s="33">
        <f>C15</f>
        <v>540</v>
      </c>
      <c r="D18" s="33">
        <f t="shared" si="15"/>
        <v>0.08</v>
      </c>
      <c r="E18" s="33">
        <f t="shared" si="0"/>
        <v>0.1</v>
      </c>
      <c r="F18" s="33">
        <f t="shared" si="1"/>
        <v>2.5532300000000001</v>
      </c>
      <c r="G18" s="33">
        <f t="shared" si="2"/>
        <v>-0.61512</v>
      </c>
      <c r="H18" s="33">
        <f t="shared" si="3"/>
        <v>-0.16403000000000001</v>
      </c>
      <c r="I18" s="6">
        <f t="shared" si="16"/>
        <v>3.0305984922856934</v>
      </c>
      <c r="J18" s="33">
        <f t="shared" si="4"/>
        <v>0.3</v>
      </c>
      <c r="K18" s="33">
        <f t="shared" si="5"/>
        <v>2.4653200000000002</v>
      </c>
      <c r="L18" s="33">
        <f t="shared" si="6"/>
        <v>-0.62256999999999996</v>
      </c>
      <c r="M18" s="33">
        <f t="shared" si="7"/>
        <v>-0.11656999999999999</v>
      </c>
      <c r="N18" s="6">
        <f t="shared" si="17"/>
        <v>3.0079648933098118</v>
      </c>
      <c r="O18" s="33">
        <f t="shared" si="8"/>
        <v>1.6334344799518139</v>
      </c>
      <c r="P18" s="34">
        <f>O18*A15*$P$6</f>
        <v>8.1835067445585885</v>
      </c>
      <c r="Q18" s="198" t="str">
        <f t="shared" si="9"/>
        <v>0.8%</v>
      </c>
      <c r="R18" s="199"/>
      <c r="S18" s="198" t="str">
        <f t="shared" si="10"/>
        <v>1.2%</v>
      </c>
      <c r="T18" s="199"/>
      <c r="U18" s="198" t="str">
        <f t="shared" si="11"/>
        <v>1.5%</v>
      </c>
      <c r="V18" s="199"/>
      <c r="W18" s="198" t="str">
        <f t="shared" si="12"/>
        <v>0.4%</v>
      </c>
      <c r="X18" s="199"/>
      <c r="Y18" s="198" t="str">
        <f t="shared" si="13"/>
        <v>0.5%</v>
      </c>
      <c r="Z18" s="199"/>
      <c r="AA18" s="198" t="str">
        <f t="shared" si="14"/>
        <v>0.7%</v>
      </c>
      <c r="AB18" s="199"/>
    </row>
    <row r="19" spans="1:28" ht="18" customHeight="1" x14ac:dyDescent="0.3">
      <c r="A19" s="206">
        <v>4</v>
      </c>
      <c r="B19" s="90">
        <v>4</v>
      </c>
      <c r="C19" s="35">
        <f>ROUND(1.5*SQRT(A19*43560)/10,0)*10</f>
        <v>630</v>
      </c>
      <c r="D19" s="35">
        <f t="shared" si="15"/>
        <v>0.14000000000000001</v>
      </c>
      <c r="E19" s="35">
        <f t="shared" si="0"/>
        <v>0.1</v>
      </c>
      <c r="F19" s="35">
        <f t="shared" si="1"/>
        <v>2.5532300000000001</v>
      </c>
      <c r="G19" s="35">
        <f t="shared" si="2"/>
        <v>-0.61512</v>
      </c>
      <c r="H19" s="35">
        <f t="shared" si="3"/>
        <v>-0.16403000000000001</v>
      </c>
      <c r="I19" s="36">
        <f t="shared" si="16"/>
        <v>2.9588698874150872</v>
      </c>
      <c r="J19" s="35">
        <f t="shared" si="4"/>
        <v>0.3</v>
      </c>
      <c r="K19" s="35">
        <f t="shared" si="5"/>
        <v>2.4653200000000002</v>
      </c>
      <c r="L19" s="35">
        <f t="shared" si="6"/>
        <v>-0.62256999999999996</v>
      </c>
      <c r="M19" s="35">
        <f t="shared" si="7"/>
        <v>-0.11656999999999999</v>
      </c>
      <c r="N19" s="36">
        <f t="shared" si="17"/>
        <v>2.9119241929001247</v>
      </c>
      <c r="O19" s="35">
        <f t="shared" si="8"/>
        <v>1.3465332011439939</v>
      </c>
      <c r="P19" s="37">
        <f>O19*A19*$P$6</f>
        <v>8.9948417836418795</v>
      </c>
      <c r="Q19" s="196" t="str">
        <f t="shared" si="9"/>
        <v>0.8%</v>
      </c>
      <c r="R19" s="197"/>
      <c r="S19" s="196" t="str">
        <f t="shared" si="10"/>
        <v>1.2%</v>
      </c>
      <c r="T19" s="197"/>
      <c r="U19" s="196" t="str">
        <f t="shared" si="11"/>
        <v>1.5%</v>
      </c>
      <c r="V19" s="197"/>
      <c r="W19" s="196" t="str">
        <f t="shared" si="12"/>
        <v>0.4%</v>
      </c>
      <c r="X19" s="197"/>
      <c r="Y19" s="196" t="str">
        <f t="shared" si="13"/>
        <v>0.5%</v>
      </c>
      <c r="Z19" s="197"/>
      <c r="AA19" s="196" t="str">
        <f t="shared" si="14"/>
        <v>0.7%</v>
      </c>
      <c r="AB19" s="197"/>
    </row>
    <row r="20" spans="1:28" ht="18" customHeight="1" x14ac:dyDescent="0.3">
      <c r="A20" s="207"/>
      <c r="B20" s="91">
        <v>6</v>
      </c>
      <c r="C20" s="14">
        <f>C19</f>
        <v>630</v>
      </c>
      <c r="D20" s="14">
        <f t="shared" si="15"/>
        <v>0.12</v>
      </c>
      <c r="E20" s="14">
        <f t="shared" si="0"/>
        <v>0.1</v>
      </c>
      <c r="F20" s="14">
        <f t="shared" si="1"/>
        <v>2.5532300000000001</v>
      </c>
      <c r="G20" s="14">
        <f t="shared" si="2"/>
        <v>-0.61512</v>
      </c>
      <c r="H20" s="14">
        <f t="shared" si="3"/>
        <v>-0.16403000000000001</v>
      </c>
      <c r="I20" s="2">
        <f t="shared" si="16"/>
        <v>2.9805618175844697</v>
      </c>
      <c r="J20" s="14">
        <f t="shared" si="4"/>
        <v>0.3</v>
      </c>
      <c r="K20" s="14">
        <f t="shared" si="5"/>
        <v>2.4653200000000002</v>
      </c>
      <c r="L20" s="14">
        <f t="shared" si="6"/>
        <v>-0.62256999999999996</v>
      </c>
      <c r="M20" s="14">
        <f t="shared" si="7"/>
        <v>-0.11656999999999999</v>
      </c>
      <c r="N20" s="2">
        <f t="shared" si="17"/>
        <v>2.9397535919517539</v>
      </c>
      <c r="O20" s="14">
        <f t="shared" si="8"/>
        <v>1.4255344949318072</v>
      </c>
      <c r="P20" s="29">
        <f>O20*A19*$P$6</f>
        <v>9.5225704261444708</v>
      </c>
      <c r="Q20" s="194" t="str">
        <f t="shared" si="9"/>
        <v>0.7%</v>
      </c>
      <c r="R20" s="195"/>
      <c r="S20" s="194" t="str">
        <f t="shared" si="10"/>
        <v>1%</v>
      </c>
      <c r="T20" s="195"/>
      <c r="U20" s="194" t="str">
        <f t="shared" si="11"/>
        <v>1.4%</v>
      </c>
      <c r="V20" s="195"/>
      <c r="W20" s="194" t="str">
        <f t="shared" si="12"/>
        <v>0.3%</v>
      </c>
      <c r="X20" s="195"/>
      <c r="Y20" s="194" t="str">
        <f t="shared" si="13"/>
        <v>0.5%</v>
      </c>
      <c r="Z20" s="195"/>
      <c r="AA20" s="194" t="str">
        <f t="shared" si="14"/>
        <v>0.6%</v>
      </c>
      <c r="AB20" s="195"/>
    </row>
    <row r="21" spans="1:28" ht="18" customHeight="1" x14ac:dyDescent="0.3">
      <c r="A21" s="207"/>
      <c r="B21" s="91">
        <v>8</v>
      </c>
      <c r="C21" s="14">
        <f>C19</f>
        <v>630</v>
      </c>
      <c r="D21" s="14">
        <f t="shared" si="15"/>
        <v>9.9999999999999992E-2</v>
      </c>
      <c r="E21" s="14">
        <f t="shared" si="0"/>
        <v>0.1</v>
      </c>
      <c r="F21" s="14">
        <f t="shared" si="1"/>
        <v>2.5532300000000001</v>
      </c>
      <c r="G21" s="14">
        <f t="shared" si="2"/>
        <v>-0.61512</v>
      </c>
      <c r="H21" s="14">
        <f t="shared" si="3"/>
        <v>-0.16403000000000001</v>
      </c>
      <c r="I21" s="2">
        <f t="shared" si="16"/>
        <v>3.0043200000000003</v>
      </c>
      <c r="J21" s="14">
        <f t="shared" si="4"/>
        <v>0.3</v>
      </c>
      <c r="K21" s="14">
        <f t="shared" si="5"/>
        <v>2.4653200000000002</v>
      </c>
      <c r="L21" s="14">
        <f t="shared" si="6"/>
        <v>-0.62256999999999996</v>
      </c>
      <c r="M21" s="14">
        <f t="shared" si="7"/>
        <v>-0.11656999999999999</v>
      </c>
      <c r="N21" s="2">
        <f t="shared" si="17"/>
        <v>2.9713200000000004</v>
      </c>
      <c r="O21" s="14">
        <f t="shared" si="8"/>
        <v>1.5192877145768793</v>
      </c>
      <c r="P21" s="29">
        <f>O21*A19*$P$6</f>
        <v>10.148841933373554</v>
      </c>
      <c r="Q21" s="194" t="str">
        <f t="shared" si="9"/>
        <v>0.7%</v>
      </c>
      <c r="R21" s="195"/>
      <c r="S21" s="194" t="str">
        <f t="shared" si="10"/>
        <v>0.9%</v>
      </c>
      <c r="T21" s="195"/>
      <c r="U21" s="194" t="str">
        <f t="shared" si="11"/>
        <v>1.2%</v>
      </c>
      <c r="V21" s="195"/>
      <c r="W21" s="194" t="str">
        <f t="shared" si="12"/>
        <v>0.3%</v>
      </c>
      <c r="X21" s="195"/>
      <c r="Y21" s="194" t="str">
        <f t="shared" si="13"/>
        <v>0.4%</v>
      </c>
      <c r="Z21" s="195"/>
      <c r="AA21" s="194" t="str">
        <f t="shared" si="14"/>
        <v>0.6%</v>
      </c>
      <c r="AB21" s="195"/>
    </row>
    <row r="22" spans="1:28" ht="18" customHeight="1" thickBot="1" x14ac:dyDescent="0.35">
      <c r="A22" s="208"/>
      <c r="B22" s="92">
        <v>10</v>
      </c>
      <c r="C22" s="33">
        <f>C19</f>
        <v>630</v>
      </c>
      <c r="D22" s="33">
        <f t="shared" si="15"/>
        <v>0.09</v>
      </c>
      <c r="E22" s="33">
        <f t="shared" si="0"/>
        <v>0.1</v>
      </c>
      <c r="F22" s="33">
        <f t="shared" si="1"/>
        <v>2.5532300000000001</v>
      </c>
      <c r="G22" s="33">
        <f t="shared" si="2"/>
        <v>-0.61512</v>
      </c>
      <c r="H22" s="33">
        <f t="shared" si="3"/>
        <v>-0.16403000000000001</v>
      </c>
      <c r="I22" s="6">
        <f t="shared" si="16"/>
        <v>3.0171117077653538</v>
      </c>
      <c r="J22" s="33">
        <f t="shared" si="4"/>
        <v>0.3</v>
      </c>
      <c r="K22" s="33">
        <f t="shared" si="5"/>
        <v>2.4653200000000002</v>
      </c>
      <c r="L22" s="33">
        <f t="shared" si="6"/>
        <v>-0.62256999999999996</v>
      </c>
      <c r="M22" s="33">
        <f t="shared" si="7"/>
        <v>-0.11656999999999999</v>
      </c>
      <c r="N22" s="6">
        <f t="shared" si="17"/>
        <v>2.9888952713513972</v>
      </c>
      <c r="O22" s="33">
        <f t="shared" si="8"/>
        <v>1.5733433743521876</v>
      </c>
      <c r="P22" s="34">
        <f>O22*A19*$P$6</f>
        <v>10.509933740672613</v>
      </c>
      <c r="Q22" s="198" t="str">
        <f t="shared" si="9"/>
        <v>0.7%</v>
      </c>
      <c r="R22" s="199"/>
      <c r="S22" s="198" t="str">
        <f t="shared" si="10"/>
        <v>0.9%</v>
      </c>
      <c r="T22" s="199"/>
      <c r="U22" s="198" t="str">
        <f t="shared" si="11"/>
        <v>1.2%</v>
      </c>
      <c r="V22" s="199"/>
      <c r="W22" s="198" t="str">
        <f t="shared" si="12"/>
        <v>0.3%</v>
      </c>
      <c r="X22" s="199"/>
      <c r="Y22" s="198" t="str">
        <f t="shared" si="13"/>
        <v>0.4%</v>
      </c>
      <c r="Z22" s="199"/>
      <c r="AA22" s="198" t="str">
        <f t="shared" si="14"/>
        <v>0.6%</v>
      </c>
      <c r="AB22" s="199"/>
    </row>
    <row r="23" spans="1:28" ht="18" customHeight="1" x14ac:dyDescent="0.3">
      <c r="A23" s="206">
        <v>5</v>
      </c>
      <c r="B23" s="90">
        <v>4</v>
      </c>
      <c r="C23" s="35">
        <f>ROUND(1.5*SQRT(A23*43560)/10,0)*10</f>
        <v>700</v>
      </c>
      <c r="D23" s="35">
        <f t="shared" si="15"/>
        <v>0.16</v>
      </c>
      <c r="E23" s="35">
        <f t="shared" si="0"/>
        <v>0.1</v>
      </c>
      <c r="F23" s="35">
        <f t="shared" si="1"/>
        <v>2.5532300000000001</v>
      </c>
      <c r="G23" s="35">
        <f t="shared" si="2"/>
        <v>-0.61512</v>
      </c>
      <c r="H23" s="35">
        <f t="shared" si="3"/>
        <v>-0.16403000000000001</v>
      </c>
      <c r="I23" s="36">
        <f t="shared" si="16"/>
        <v>2.9388910131893802</v>
      </c>
      <c r="J23" s="35">
        <f t="shared" si="4"/>
        <v>0.3</v>
      </c>
      <c r="K23" s="35">
        <f t="shared" si="5"/>
        <v>2.4653200000000002</v>
      </c>
      <c r="L23" s="35">
        <f t="shared" si="6"/>
        <v>-0.62256999999999996</v>
      </c>
      <c r="M23" s="35">
        <f t="shared" si="7"/>
        <v>-0.11656999999999999</v>
      </c>
      <c r="N23" s="36">
        <f t="shared" si="17"/>
        <v>2.8869726699138742</v>
      </c>
      <c r="O23" s="35">
        <f t="shared" si="8"/>
        <v>1.2786505434947275</v>
      </c>
      <c r="P23" s="37">
        <f>O23*A23*$P$6</f>
        <v>10.676732038180974</v>
      </c>
      <c r="Q23" s="196" t="str">
        <f t="shared" si="9"/>
        <v>0.7%</v>
      </c>
      <c r="R23" s="197"/>
      <c r="S23" s="196" t="str">
        <f t="shared" si="10"/>
        <v>0.9%</v>
      </c>
      <c r="T23" s="197"/>
      <c r="U23" s="196" t="str">
        <f t="shared" si="11"/>
        <v>1.2%</v>
      </c>
      <c r="V23" s="197"/>
      <c r="W23" s="196" t="str">
        <f t="shared" si="12"/>
        <v>0.3%</v>
      </c>
      <c r="X23" s="197"/>
      <c r="Y23" s="196" t="str">
        <f t="shared" si="13"/>
        <v>0.4%</v>
      </c>
      <c r="Z23" s="197"/>
      <c r="AA23" s="196" t="str">
        <f t="shared" si="14"/>
        <v>0.6%</v>
      </c>
      <c r="AB23" s="197"/>
    </row>
    <row r="24" spans="1:28" ht="18" customHeight="1" x14ac:dyDescent="0.3">
      <c r="A24" s="207"/>
      <c r="B24" s="91">
        <v>6</v>
      </c>
      <c r="C24" s="14">
        <f>C23</f>
        <v>700</v>
      </c>
      <c r="D24" s="14">
        <f t="shared" si="15"/>
        <v>0.13</v>
      </c>
      <c r="E24" s="14">
        <f t="shared" si="0"/>
        <v>0.1</v>
      </c>
      <c r="F24" s="14">
        <f t="shared" si="1"/>
        <v>2.5532300000000001</v>
      </c>
      <c r="G24" s="14">
        <f t="shared" si="2"/>
        <v>-0.61512</v>
      </c>
      <c r="H24" s="14">
        <f t="shared" si="3"/>
        <v>-0.16403000000000001</v>
      </c>
      <c r="I24" s="2">
        <f t="shared" si="16"/>
        <v>2.9694818054384466</v>
      </c>
      <c r="J24" s="14">
        <f t="shared" si="4"/>
        <v>0.3</v>
      </c>
      <c r="K24" s="14">
        <f t="shared" si="5"/>
        <v>2.4653200000000002</v>
      </c>
      <c r="L24" s="14">
        <f t="shared" si="6"/>
        <v>-0.62256999999999996</v>
      </c>
      <c r="M24" s="14">
        <f t="shared" si="7"/>
        <v>-0.11656999999999999</v>
      </c>
      <c r="N24" s="2">
        <f t="shared" si="17"/>
        <v>2.9254336017972031</v>
      </c>
      <c r="O24" s="14">
        <f t="shared" si="8"/>
        <v>1.3844514472646661</v>
      </c>
      <c r="P24" s="29">
        <f>O24*A23*$P$6</f>
        <v>11.560169584659961</v>
      </c>
      <c r="Q24" s="194" t="str">
        <f t="shared" si="9"/>
        <v>0.6%</v>
      </c>
      <c r="R24" s="195"/>
      <c r="S24" s="194" t="str">
        <f t="shared" si="10"/>
        <v>0.9%</v>
      </c>
      <c r="T24" s="195"/>
      <c r="U24" s="194" t="str">
        <f t="shared" si="11"/>
        <v>1.1%</v>
      </c>
      <c r="V24" s="195"/>
      <c r="W24" s="194" t="str">
        <f t="shared" si="12"/>
        <v>0.3%</v>
      </c>
      <c r="X24" s="195"/>
      <c r="Y24" s="194" t="str">
        <f t="shared" si="13"/>
        <v>0.4%</v>
      </c>
      <c r="Z24" s="195"/>
      <c r="AA24" s="194" t="str">
        <f t="shared" si="14"/>
        <v>0.5%</v>
      </c>
      <c r="AB24" s="195"/>
    </row>
    <row r="25" spans="1:28" ht="18" customHeight="1" x14ac:dyDescent="0.3">
      <c r="A25" s="207"/>
      <c r="B25" s="91">
        <v>8</v>
      </c>
      <c r="C25" s="14">
        <f>C23</f>
        <v>700</v>
      </c>
      <c r="D25" s="14">
        <f t="shared" si="15"/>
        <v>0.11</v>
      </c>
      <c r="E25" s="14">
        <f t="shared" si="0"/>
        <v>0.1</v>
      </c>
      <c r="F25" s="14">
        <f t="shared" si="1"/>
        <v>2.5532300000000001</v>
      </c>
      <c r="G25" s="14">
        <f t="shared" si="2"/>
        <v>-0.61512</v>
      </c>
      <c r="H25" s="14">
        <f t="shared" si="3"/>
        <v>-0.16403000000000001</v>
      </c>
      <c r="I25" s="2">
        <f t="shared" si="16"/>
        <v>2.9921567742787727</v>
      </c>
      <c r="J25" s="14">
        <f t="shared" si="4"/>
        <v>0.3</v>
      </c>
      <c r="K25" s="14">
        <f t="shared" si="5"/>
        <v>2.4653200000000002</v>
      </c>
      <c r="L25" s="14">
        <f t="shared" si="6"/>
        <v>-0.62256999999999996</v>
      </c>
      <c r="M25" s="14">
        <f t="shared" si="7"/>
        <v>-0.11656999999999999</v>
      </c>
      <c r="N25" s="2">
        <f t="shared" si="17"/>
        <v>2.955000720898219</v>
      </c>
      <c r="O25" s="14">
        <f t="shared" si="8"/>
        <v>1.470275680095259</v>
      </c>
      <c r="P25" s="29">
        <f>O25*A23*$P$6</f>
        <v>12.276801928795413</v>
      </c>
      <c r="Q25" s="194" t="str">
        <f t="shared" si="9"/>
        <v>0.6%</v>
      </c>
      <c r="R25" s="195"/>
      <c r="S25" s="194" t="str">
        <f t="shared" si="10"/>
        <v>0.8%</v>
      </c>
      <c r="T25" s="195"/>
      <c r="U25" s="194" t="str">
        <f t="shared" si="11"/>
        <v>1%</v>
      </c>
      <c r="V25" s="195"/>
      <c r="W25" s="194" t="str">
        <f t="shared" si="12"/>
        <v>0.2%</v>
      </c>
      <c r="X25" s="195"/>
      <c r="Y25" s="194" t="str">
        <f t="shared" si="13"/>
        <v>0.4%</v>
      </c>
      <c r="Z25" s="195"/>
      <c r="AA25" s="194" t="str">
        <f t="shared" si="14"/>
        <v>0.5%</v>
      </c>
      <c r="AB25" s="195"/>
    </row>
    <row r="26" spans="1:28" ht="18" customHeight="1" thickBot="1" x14ac:dyDescent="0.35">
      <c r="A26" s="208"/>
      <c r="B26" s="92">
        <v>10</v>
      </c>
      <c r="C26" s="33">
        <f>C23</f>
        <v>700</v>
      </c>
      <c r="D26" s="33">
        <f t="shared" si="15"/>
        <v>9.9999999999999992E-2</v>
      </c>
      <c r="E26" s="33">
        <f t="shared" si="0"/>
        <v>0.1</v>
      </c>
      <c r="F26" s="33">
        <f t="shared" si="1"/>
        <v>2.5532300000000001</v>
      </c>
      <c r="G26" s="33">
        <f t="shared" si="2"/>
        <v>-0.61512</v>
      </c>
      <c r="H26" s="33">
        <f t="shared" si="3"/>
        <v>-0.16403000000000001</v>
      </c>
      <c r="I26" s="6">
        <f t="shared" si="16"/>
        <v>3.0043200000000003</v>
      </c>
      <c r="J26" s="33">
        <f t="shared" si="4"/>
        <v>0.3</v>
      </c>
      <c r="K26" s="33">
        <f t="shared" si="5"/>
        <v>2.4653200000000002</v>
      </c>
      <c r="L26" s="33">
        <f t="shared" si="6"/>
        <v>-0.62256999999999996</v>
      </c>
      <c r="M26" s="33">
        <f t="shared" si="7"/>
        <v>-0.11656999999999999</v>
      </c>
      <c r="N26" s="6">
        <f t="shared" si="17"/>
        <v>2.9713200000000004</v>
      </c>
      <c r="O26" s="33">
        <f t="shared" si="8"/>
        <v>1.5192877145768793</v>
      </c>
      <c r="P26" s="34">
        <f>O26*A23*$P$6</f>
        <v>12.686052416716942</v>
      </c>
      <c r="Q26" s="198" t="str">
        <f t="shared" si="9"/>
        <v>0.6%</v>
      </c>
      <c r="R26" s="199"/>
      <c r="S26" s="198" t="str">
        <f t="shared" si="10"/>
        <v>0.8%</v>
      </c>
      <c r="T26" s="199"/>
      <c r="U26" s="198" t="str">
        <f t="shared" si="11"/>
        <v>1%</v>
      </c>
      <c r="V26" s="199"/>
      <c r="W26" s="198" t="str">
        <f t="shared" si="12"/>
        <v>0.2%</v>
      </c>
      <c r="X26" s="199"/>
      <c r="Y26" s="198" t="str">
        <f t="shared" si="13"/>
        <v>0.4%</v>
      </c>
      <c r="Z26" s="199"/>
      <c r="AA26" s="198" t="str">
        <f t="shared" si="14"/>
        <v>0.5%</v>
      </c>
      <c r="AB26" s="199"/>
    </row>
    <row r="27" spans="1:28" ht="18" customHeight="1" x14ac:dyDescent="0.3">
      <c r="A27" s="206">
        <v>6</v>
      </c>
      <c r="B27" s="90">
        <v>4</v>
      </c>
      <c r="C27" s="35">
        <f>ROUND(1.5*SQRT(A27*43560)/10,0)*10</f>
        <v>770</v>
      </c>
      <c r="D27" s="35">
        <f t="shared" si="15"/>
        <v>0.17</v>
      </c>
      <c r="E27" s="35">
        <f t="shared" si="0"/>
        <v>0.1</v>
      </c>
      <c r="F27" s="35">
        <f t="shared" si="1"/>
        <v>2.5532300000000001</v>
      </c>
      <c r="G27" s="35">
        <f t="shared" si="2"/>
        <v>-0.61512</v>
      </c>
      <c r="H27" s="35">
        <f t="shared" si="3"/>
        <v>-0.16403000000000001</v>
      </c>
      <c r="I27" s="36">
        <f t="shared" si="16"/>
        <v>2.9294562397482284</v>
      </c>
      <c r="J27" s="35">
        <f t="shared" si="4"/>
        <v>0.3</v>
      </c>
      <c r="K27" s="35">
        <f t="shared" si="5"/>
        <v>2.4653200000000002</v>
      </c>
      <c r="L27" s="35">
        <f t="shared" si="6"/>
        <v>-0.62256999999999996</v>
      </c>
      <c r="M27" s="35">
        <f t="shared" si="7"/>
        <v>-0.11656999999999999</v>
      </c>
      <c r="N27" s="36">
        <f t="shared" si="17"/>
        <v>2.8753856279033299</v>
      </c>
      <c r="O27" s="35">
        <f t="shared" si="8"/>
        <v>1.2480757927425445</v>
      </c>
      <c r="P27" s="37">
        <f>O27*A27*$P$6</f>
        <v>12.505719443280295</v>
      </c>
      <c r="Q27" s="196" t="str">
        <f t="shared" si="9"/>
        <v>0.6%</v>
      </c>
      <c r="R27" s="197"/>
      <c r="S27" s="196" t="str">
        <f t="shared" si="10"/>
        <v>0.8%</v>
      </c>
      <c r="T27" s="197"/>
      <c r="U27" s="196" t="str">
        <f t="shared" si="11"/>
        <v>1%</v>
      </c>
      <c r="V27" s="197"/>
      <c r="W27" s="196" t="str">
        <f t="shared" si="12"/>
        <v>0.2%</v>
      </c>
      <c r="X27" s="197"/>
      <c r="Y27" s="196" t="str">
        <f t="shared" si="13"/>
        <v>0.4%</v>
      </c>
      <c r="Z27" s="197"/>
      <c r="AA27" s="196" t="str">
        <f t="shared" si="14"/>
        <v>0.5%</v>
      </c>
      <c r="AB27" s="197"/>
    </row>
    <row r="28" spans="1:28" ht="18" customHeight="1" x14ac:dyDescent="0.3">
      <c r="A28" s="207"/>
      <c r="B28" s="91">
        <v>6</v>
      </c>
      <c r="C28" s="14">
        <f>C27</f>
        <v>770</v>
      </c>
      <c r="D28" s="14">
        <f t="shared" si="15"/>
        <v>0.14000000000000001</v>
      </c>
      <c r="E28" s="14">
        <f t="shared" si="0"/>
        <v>0.1</v>
      </c>
      <c r="F28" s="14">
        <f t="shared" si="1"/>
        <v>2.5532300000000001</v>
      </c>
      <c r="G28" s="14">
        <f t="shared" si="2"/>
        <v>-0.61512</v>
      </c>
      <c r="H28" s="14">
        <f t="shared" si="3"/>
        <v>-0.16403000000000001</v>
      </c>
      <c r="I28" s="2">
        <f t="shared" si="16"/>
        <v>2.9588698874150872</v>
      </c>
      <c r="J28" s="14">
        <f t="shared" si="4"/>
        <v>0.3</v>
      </c>
      <c r="K28" s="14">
        <f t="shared" si="5"/>
        <v>2.4653200000000002</v>
      </c>
      <c r="L28" s="14">
        <f t="shared" si="6"/>
        <v>-0.62256999999999996</v>
      </c>
      <c r="M28" s="14">
        <f t="shared" si="7"/>
        <v>-0.11656999999999999</v>
      </c>
      <c r="N28" s="2">
        <f t="shared" si="17"/>
        <v>2.9119241929001247</v>
      </c>
      <c r="O28" s="14">
        <f t="shared" si="8"/>
        <v>1.3465332011439939</v>
      </c>
      <c r="P28" s="29">
        <f>O28*A27*$P$6</f>
        <v>13.492262675462818</v>
      </c>
      <c r="Q28" s="194" t="str">
        <f t="shared" si="9"/>
        <v>0.5%</v>
      </c>
      <c r="R28" s="195"/>
      <c r="S28" s="194" t="str">
        <f t="shared" si="10"/>
        <v>0.8%</v>
      </c>
      <c r="T28" s="195"/>
      <c r="U28" s="194" t="str">
        <f t="shared" si="11"/>
        <v>1%</v>
      </c>
      <c r="V28" s="195"/>
      <c r="W28" s="194" t="str">
        <f t="shared" si="12"/>
        <v>0.2%</v>
      </c>
      <c r="X28" s="195"/>
      <c r="Y28" s="194" t="str">
        <f t="shared" si="13"/>
        <v>0.3%</v>
      </c>
      <c r="Z28" s="195"/>
      <c r="AA28" s="194" t="str">
        <f t="shared" si="14"/>
        <v>0.5%</v>
      </c>
      <c r="AB28" s="195"/>
    </row>
    <row r="29" spans="1:28" ht="18" customHeight="1" x14ac:dyDescent="0.3">
      <c r="A29" s="207"/>
      <c r="B29" s="91">
        <v>8</v>
      </c>
      <c r="C29" s="14">
        <f>C27</f>
        <v>770</v>
      </c>
      <c r="D29" s="14">
        <f t="shared" si="15"/>
        <v>0.12</v>
      </c>
      <c r="E29" s="14">
        <f t="shared" si="0"/>
        <v>0.1</v>
      </c>
      <c r="F29" s="14">
        <f t="shared" si="1"/>
        <v>2.5532300000000001</v>
      </c>
      <c r="G29" s="14">
        <f t="shared" si="2"/>
        <v>-0.61512</v>
      </c>
      <c r="H29" s="14">
        <f t="shared" si="3"/>
        <v>-0.16403000000000001</v>
      </c>
      <c r="I29" s="2">
        <f t="shared" si="16"/>
        <v>2.9805618175844697</v>
      </c>
      <c r="J29" s="14">
        <f t="shared" si="4"/>
        <v>0.3</v>
      </c>
      <c r="K29" s="14">
        <f t="shared" si="5"/>
        <v>2.4653200000000002</v>
      </c>
      <c r="L29" s="14">
        <f t="shared" si="6"/>
        <v>-0.62256999999999996</v>
      </c>
      <c r="M29" s="14">
        <f t="shared" si="7"/>
        <v>-0.11656999999999999</v>
      </c>
      <c r="N29" s="2">
        <f t="shared" si="17"/>
        <v>2.9397535919517539</v>
      </c>
      <c r="O29" s="14">
        <f t="shared" si="8"/>
        <v>1.4255344949318072</v>
      </c>
      <c r="P29" s="29">
        <f>O29*A27*$P$6</f>
        <v>14.283855639216707</v>
      </c>
      <c r="Q29" s="194" t="str">
        <f t="shared" si="9"/>
        <v>0.5%</v>
      </c>
      <c r="R29" s="195"/>
      <c r="S29" s="194" t="str">
        <f t="shared" si="10"/>
        <v>0.7%</v>
      </c>
      <c r="T29" s="195"/>
      <c r="U29" s="194" t="str">
        <f t="shared" si="11"/>
        <v>0.9%</v>
      </c>
      <c r="V29" s="195"/>
      <c r="W29" s="194" t="str">
        <f t="shared" si="12"/>
        <v>0.2%</v>
      </c>
      <c r="X29" s="195"/>
      <c r="Y29" s="194" t="str">
        <f t="shared" si="13"/>
        <v>0.3%</v>
      </c>
      <c r="Z29" s="195"/>
      <c r="AA29" s="194" t="str">
        <f t="shared" si="14"/>
        <v>0.4%</v>
      </c>
      <c r="AB29" s="195"/>
    </row>
    <row r="30" spans="1:28" ht="18" customHeight="1" thickBot="1" x14ac:dyDescent="0.35">
      <c r="A30" s="208"/>
      <c r="B30" s="92">
        <v>10</v>
      </c>
      <c r="C30" s="33">
        <f>C27</f>
        <v>770</v>
      </c>
      <c r="D30" s="33">
        <f t="shared" si="15"/>
        <v>0.11</v>
      </c>
      <c r="E30" s="33">
        <f t="shared" si="0"/>
        <v>0.1</v>
      </c>
      <c r="F30" s="33">
        <f t="shared" si="1"/>
        <v>2.5532300000000001</v>
      </c>
      <c r="G30" s="33">
        <f t="shared" si="2"/>
        <v>-0.61512</v>
      </c>
      <c r="H30" s="33">
        <f t="shared" si="3"/>
        <v>-0.16403000000000001</v>
      </c>
      <c r="I30" s="6">
        <f t="shared" si="16"/>
        <v>2.9921567742787727</v>
      </c>
      <c r="J30" s="33">
        <f t="shared" si="4"/>
        <v>0.3</v>
      </c>
      <c r="K30" s="33">
        <f t="shared" si="5"/>
        <v>2.4653200000000002</v>
      </c>
      <c r="L30" s="33">
        <f t="shared" si="6"/>
        <v>-0.62256999999999996</v>
      </c>
      <c r="M30" s="33">
        <f t="shared" si="7"/>
        <v>-0.11656999999999999</v>
      </c>
      <c r="N30" s="6">
        <f t="shared" si="17"/>
        <v>2.955000720898219</v>
      </c>
      <c r="O30" s="33">
        <f t="shared" si="8"/>
        <v>1.470275680095259</v>
      </c>
      <c r="P30" s="34">
        <f>O30*A27*$P$6</f>
        <v>14.732162314554493</v>
      </c>
      <c r="Q30" s="198" t="str">
        <f t="shared" si="9"/>
        <v>0.5%</v>
      </c>
      <c r="R30" s="199"/>
      <c r="S30" s="198" t="str">
        <f t="shared" si="10"/>
        <v>0.7%</v>
      </c>
      <c r="T30" s="199"/>
      <c r="U30" s="198" t="str">
        <f t="shared" si="11"/>
        <v>0.9%</v>
      </c>
      <c r="V30" s="199"/>
      <c r="W30" s="198" t="str">
        <f t="shared" si="12"/>
        <v>0.2%</v>
      </c>
      <c r="X30" s="199"/>
      <c r="Y30" s="198" t="str">
        <f t="shared" si="13"/>
        <v>0.3%</v>
      </c>
      <c r="Z30" s="199"/>
      <c r="AA30" s="198" t="str">
        <f t="shared" si="14"/>
        <v>0.4%</v>
      </c>
      <c r="AB30" s="199"/>
    </row>
    <row r="31" spans="1:28" ht="18" customHeight="1" x14ac:dyDescent="0.3">
      <c r="A31" s="207">
        <v>8</v>
      </c>
      <c r="B31" s="93">
        <v>4</v>
      </c>
      <c r="C31" s="14">
        <f>ROUND(1.5*SQRT(A31*43560)/10,0)*10</f>
        <v>890</v>
      </c>
      <c r="D31" s="14">
        <f t="shared" si="15"/>
        <v>0.19</v>
      </c>
      <c r="E31" s="14">
        <f t="shared" si="0"/>
        <v>0.1</v>
      </c>
      <c r="F31" s="14">
        <f t="shared" si="1"/>
        <v>2.5532300000000001</v>
      </c>
      <c r="G31" s="14">
        <f t="shared" si="2"/>
        <v>-0.61512</v>
      </c>
      <c r="H31" s="14">
        <f t="shared" si="3"/>
        <v>-0.16403000000000001</v>
      </c>
      <c r="I31" s="31">
        <f t="shared" si="16"/>
        <v>2.9115552747161355</v>
      </c>
      <c r="J31" s="14">
        <f t="shared" si="4"/>
        <v>0.3</v>
      </c>
      <c r="K31" s="14">
        <f t="shared" si="5"/>
        <v>2.4653200000000002</v>
      </c>
      <c r="L31" s="14">
        <f t="shared" si="6"/>
        <v>-0.62256999999999996</v>
      </c>
      <c r="M31" s="14">
        <f t="shared" si="7"/>
        <v>-0.11656999999999999</v>
      </c>
      <c r="N31" s="31">
        <f t="shared" si="17"/>
        <v>2.8537070800208912</v>
      </c>
      <c r="O31" s="14">
        <f t="shared" si="8"/>
        <v>1.1924802732015516</v>
      </c>
      <c r="P31" s="32">
        <f>O31*A31*$P$6</f>
        <v>15.931536449972729</v>
      </c>
      <c r="Q31" s="196" t="str">
        <f t="shared" si="9"/>
        <v>0.4%</v>
      </c>
      <c r="R31" s="197"/>
      <c r="S31" s="196" t="str">
        <f t="shared" si="10"/>
        <v>0.7%</v>
      </c>
      <c r="T31" s="197"/>
      <c r="U31" s="196" t="str">
        <f t="shared" si="11"/>
        <v>0.9%</v>
      </c>
      <c r="V31" s="197"/>
      <c r="W31" s="196" t="str">
        <f t="shared" si="12"/>
        <v>0.2%</v>
      </c>
      <c r="X31" s="197"/>
      <c r="Y31" s="196" t="str">
        <f t="shared" si="13"/>
        <v>0.3%</v>
      </c>
      <c r="Z31" s="197"/>
      <c r="AA31" s="196" t="str">
        <f t="shared" si="14"/>
        <v>0.4%</v>
      </c>
      <c r="AB31" s="197"/>
    </row>
    <row r="32" spans="1:28" ht="18" customHeight="1" x14ac:dyDescent="0.3">
      <c r="A32" s="207"/>
      <c r="B32" s="91">
        <v>6</v>
      </c>
      <c r="C32" s="14">
        <f>C31</f>
        <v>890</v>
      </c>
      <c r="D32" s="14">
        <f t="shared" si="15"/>
        <v>0.15000000000000002</v>
      </c>
      <c r="E32" s="14">
        <f t="shared" si="0"/>
        <v>0.1</v>
      </c>
      <c r="F32" s="14">
        <f t="shared" si="1"/>
        <v>2.5532300000000001</v>
      </c>
      <c r="G32" s="14">
        <f t="shared" si="2"/>
        <v>-0.61512</v>
      </c>
      <c r="H32" s="14">
        <f t="shared" si="3"/>
        <v>-0.16403000000000001</v>
      </c>
      <c r="I32" s="2">
        <f t="shared" si="16"/>
        <v>2.9486849793629371</v>
      </c>
      <c r="J32" s="14">
        <f t="shared" si="4"/>
        <v>0.3</v>
      </c>
      <c r="K32" s="14">
        <f t="shared" si="5"/>
        <v>2.4653200000000002</v>
      </c>
      <c r="L32" s="14">
        <f t="shared" si="6"/>
        <v>-0.62256999999999996</v>
      </c>
      <c r="M32" s="14">
        <f t="shared" si="7"/>
        <v>-0.11656999999999999</v>
      </c>
      <c r="N32" s="2">
        <f t="shared" si="17"/>
        <v>2.8991301630951476</v>
      </c>
      <c r="O32" s="14">
        <f t="shared" si="8"/>
        <v>1.311377105258446</v>
      </c>
      <c r="P32" s="29">
        <f>O32*A31*$P$6</f>
        <v>17.519998126252837</v>
      </c>
      <c r="Q32" s="194" t="str">
        <f t="shared" si="9"/>
        <v>0.4%</v>
      </c>
      <c r="R32" s="195"/>
      <c r="S32" s="194" t="str">
        <f t="shared" si="10"/>
        <v>0.6%</v>
      </c>
      <c r="T32" s="195"/>
      <c r="U32" s="194" t="str">
        <f t="shared" si="11"/>
        <v>0.8%</v>
      </c>
      <c r="V32" s="195"/>
      <c r="W32" s="194" t="str">
        <f t="shared" si="12"/>
        <v>0.2%</v>
      </c>
      <c r="X32" s="195"/>
      <c r="Y32" s="194" t="str">
        <f t="shared" si="13"/>
        <v>0.3%</v>
      </c>
      <c r="Z32" s="195"/>
      <c r="AA32" s="194" t="str">
        <f t="shared" si="14"/>
        <v>0.3%</v>
      </c>
      <c r="AB32" s="195"/>
    </row>
    <row r="33" spans="1:28" ht="18" customHeight="1" x14ac:dyDescent="0.3">
      <c r="A33" s="207"/>
      <c r="B33" s="91">
        <v>8</v>
      </c>
      <c r="C33" s="14">
        <f>C31</f>
        <v>890</v>
      </c>
      <c r="D33" s="14">
        <f t="shared" si="15"/>
        <v>0.13</v>
      </c>
      <c r="E33" s="14">
        <f t="shared" si="0"/>
        <v>0.1</v>
      </c>
      <c r="F33" s="14">
        <f t="shared" si="1"/>
        <v>2.5532300000000001</v>
      </c>
      <c r="G33" s="14">
        <f t="shared" si="2"/>
        <v>-0.61512</v>
      </c>
      <c r="H33" s="14">
        <f t="shared" si="3"/>
        <v>-0.16403000000000001</v>
      </c>
      <c r="I33" s="2">
        <f t="shared" si="16"/>
        <v>2.9694818054384466</v>
      </c>
      <c r="J33" s="14">
        <f t="shared" si="4"/>
        <v>0.3</v>
      </c>
      <c r="K33" s="14">
        <f t="shared" si="5"/>
        <v>2.4653200000000002</v>
      </c>
      <c r="L33" s="14">
        <f t="shared" si="6"/>
        <v>-0.62256999999999996</v>
      </c>
      <c r="M33" s="14">
        <f t="shared" si="7"/>
        <v>-0.11656999999999999</v>
      </c>
      <c r="N33" s="2">
        <f t="shared" si="17"/>
        <v>2.9254336017972031</v>
      </c>
      <c r="O33" s="14">
        <f t="shared" si="8"/>
        <v>1.3844514472646661</v>
      </c>
      <c r="P33" s="29">
        <f>O33*A31*$P$6</f>
        <v>18.496271335455937</v>
      </c>
      <c r="Q33" s="194" t="str">
        <f t="shared" si="9"/>
        <v>0.4%</v>
      </c>
      <c r="R33" s="195"/>
      <c r="S33" s="194" t="str">
        <f t="shared" si="10"/>
        <v>0.5%</v>
      </c>
      <c r="T33" s="195"/>
      <c r="U33" s="194" t="str">
        <f t="shared" si="11"/>
        <v>0.7%</v>
      </c>
      <c r="V33" s="195"/>
      <c r="W33" s="194" t="str">
        <f t="shared" si="12"/>
        <v>0.2%</v>
      </c>
      <c r="X33" s="195"/>
      <c r="Y33" s="194" t="str">
        <f t="shared" si="13"/>
        <v>0.2%</v>
      </c>
      <c r="Z33" s="195"/>
      <c r="AA33" s="194" t="str">
        <f t="shared" si="14"/>
        <v>0.3%</v>
      </c>
      <c r="AB33" s="195"/>
    </row>
    <row r="34" spans="1:28" ht="18" customHeight="1" thickBot="1" x14ac:dyDescent="0.35">
      <c r="A34" s="209"/>
      <c r="B34" s="91">
        <v>10</v>
      </c>
      <c r="C34" s="14">
        <f>C31</f>
        <v>890</v>
      </c>
      <c r="D34" s="14">
        <f t="shared" si="15"/>
        <v>0.12</v>
      </c>
      <c r="E34" s="14">
        <f t="shared" si="0"/>
        <v>0.1</v>
      </c>
      <c r="F34" s="14">
        <f t="shared" si="1"/>
        <v>2.5532300000000001</v>
      </c>
      <c r="G34" s="14">
        <f t="shared" si="2"/>
        <v>-0.61512</v>
      </c>
      <c r="H34" s="14">
        <f t="shared" si="3"/>
        <v>-0.16403000000000001</v>
      </c>
      <c r="I34" s="2">
        <f t="shared" si="16"/>
        <v>2.9805618175844697</v>
      </c>
      <c r="J34" s="14">
        <f t="shared" si="4"/>
        <v>0.3</v>
      </c>
      <c r="K34" s="14">
        <f t="shared" si="5"/>
        <v>2.4653200000000002</v>
      </c>
      <c r="L34" s="14">
        <f t="shared" si="6"/>
        <v>-0.62256999999999996</v>
      </c>
      <c r="M34" s="14">
        <f t="shared" si="7"/>
        <v>-0.11656999999999999</v>
      </c>
      <c r="N34" s="2">
        <f t="shared" si="17"/>
        <v>2.9397535919517539</v>
      </c>
      <c r="O34" s="14">
        <f t="shared" si="8"/>
        <v>1.4255344949318072</v>
      </c>
      <c r="P34" s="29">
        <f>O34*A31*$P$6</f>
        <v>19.045140852288942</v>
      </c>
      <c r="Q34" s="198" t="str">
        <f t="shared" si="9"/>
        <v>0.4%</v>
      </c>
      <c r="R34" s="199"/>
      <c r="S34" s="198" t="str">
        <f t="shared" si="10"/>
        <v>0.5%</v>
      </c>
      <c r="T34" s="199"/>
      <c r="U34" s="198" t="str">
        <f t="shared" si="11"/>
        <v>0.7%</v>
      </c>
      <c r="V34" s="199"/>
      <c r="W34" s="198" t="str">
        <f t="shared" si="12"/>
        <v>-</v>
      </c>
      <c r="X34" s="199"/>
      <c r="Y34" s="198" t="str">
        <f t="shared" si="13"/>
        <v>0.2%</v>
      </c>
      <c r="Z34" s="199"/>
      <c r="AA34" s="198" t="str">
        <f t="shared" si="14"/>
        <v>0.3%</v>
      </c>
      <c r="AB34" s="199"/>
    </row>
    <row r="35" spans="1:28" ht="9.75" customHeight="1" x14ac:dyDescent="0.3"/>
    <row r="36" spans="1:28" x14ac:dyDescent="0.3">
      <c r="A36" s="7" t="s">
        <v>48</v>
      </c>
      <c r="Q36" s="9"/>
      <c r="R36" s="9"/>
    </row>
    <row r="37" spans="1:28" x14ac:dyDescent="0.3">
      <c r="A37" s="7" t="s">
        <v>55</v>
      </c>
      <c r="Q37" s="3"/>
      <c r="R37" s="3"/>
      <c r="S37" s="8"/>
      <c r="T37" s="8"/>
      <c r="U37" s="8"/>
      <c r="V37" s="8"/>
      <c r="W37" s="8"/>
      <c r="X37" s="8"/>
    </row>
    <row r="38" spans="1:28" x14ac:dyDescent="0.3">
      <c r="A38" s="7" t="s">
        <v>49</v>
      </c>
    </row>
    <row r="39" spans="1:28" x14ac:dyDescent="0.3">
      <c r="A39" s="7" t="s">
        <v>30</v>
      </c>
    </row>
    <row r="40" spans="1:28" ht="7.5" customHeight="1" x14ac:dyDescent="0.3"/>
    <row r="41" spans="1:28" ht="16.2" x14ac:dyDescent="0.3">
      <c r="A41" s="7" t="s">
        <v>25</v>
      </c>
    </row>
  </sheetData>
  <sheetProtection algorithmName="SHA-512" hashValue="PDh5cBRa299Zjf3qGiMkkKtBZzfOcTekjXUrPJYosRfqyjEH6MOapvJ0U3ORV+7UCkIPqNeoxIldQSeInho79g==" saltValue="c1rn6n2Zcu/7CTNpOzedAw==" spinCount="100000" sheet="1" objects="1" scenarios="1" selectLockedCells="1"/>
  <mergeCells count="180">
    <mergeCell ref="Q34:R34"/>
    <mergeCell ref="S34:T34"/>
    <mergeCell ref="U34:V34"/>
    <mergeCell ref="W34:X34"/>
    <mergeCell ref="Y34:Z34"/>
    <mergeCell ref="AA34:AB34"/>
    <mergeCell ref="AA32:AB32"/>
    <mergeCell ref="Q33:R33"/>
    <mergeCell ref="S33:T33"/>
    <mergeCell ref="U33:V33"/>
    <mergeCell ref="W33:X33"/>
    <mergeCell ref="Y33:Z33"/>
    <mergeCell ref="AA33:AB33"/>
    <mergeCell ref="Q32:R32"/>
    <mergeCell ref="S32:T32"/>
    <mergeCell ref="U32:V32"/>
    <mergeCell ref="W32:X32"/>
    <mergeCell ref="Y32:Z32"/>
    <mergeCell ref="AA18:AB18"/>
    <mergeCell ref="Q22:R22"/>
    <mergeCell ref="S22:T22"/>
    <mergeCell ref="U22:V22"/>
    <mergeCell ref="W22:X22"/>
    <mergeCell ref="Y22:Z22"/>
    <mergeCell ref="AA22:AB22"/>
    <mergeCell ref="Q18:R18"/>
    <mergeCell ref="S18:T18"/>
    <mergeCell ref="U18:V18"/>
    <mergeCell ref="W18:X18"/>
    <mergeCell ref="Y18:Z18"/>
    <mergeCell ref="W21:X21"/>
    <mergeCell ref="Y21:Z21"/>
    <mergeCell ref="AA21:AB21"/>
    <mergeCell ref="Q19:R19"/>
    <mergeCell ref="S19:T19"/>
    <mergeCell ref="U19:V19"/>
    <mergeCell ref="W19:X19"/>
    <mergeCell ref="Y19:Z19"/>
    <mergeCell ref="AA25:AB25"/>
    <mergeCell ref="Q28:R28"/>
    <mergeCell ref="S28:T28"/>
    <mergeCell ref="U28:V28"/>
    <mergeCell ref="W28:X28"/>
    <mergeCell ref="Y28:Z28"/>
    <mergeCell ref="AA28:AB28"/>
    <mergeCell ref="Q26:R26"/>
    <mergeCell ref="S26:T26"/>
    <mergeCell ref="U26:V26"/>
    <mergeCell ref="W26:X26"/>
    <mergeCell ref="Y26:Z26"/>
    <mergeCell ref="AA26:AB26"/>
    <mergeCell ref="Q25:R25"/>
    <mergeCell ref="S25:T25"/>
    <mergeCell ref="U25:V25"/>
    <mergeCell ref="W25:X25"/>
    <mergeCell ref="Y25:Z25"/>
    <mergeCell ref="AA27:AB27"/>
    <mergeCell ref="Q27:R27"/>
    <mergeCell ref="S27:T27"/>
    <mergeCell ref="U27:V27"/>
    <mergeCell ref="W27:X27"/>
    <mergeCell ref="Y27:Z27"/>
    <mergeCell ref="Q24:R24"/>
    <mergeCell ref="S24:T24"/>
    <mergeCell ref="U24:V24"/>
    <mergeCell ref="W24:X24"/>
    <mergeCell ref="Y24:Z24"/>
    <mergeCell ref="AA24:AB24"/>
    <mergeCell ref="AA16:AB16"/>
    <mergeCell ref="Q17:R17"/>
    <mergeCell ref="S17:T17"/>
    <mergeCell ref="U17:V17"/>
    <mergeCell ref="W17:X17"/>
    <mergeCell ref="Y17:Z17"/>
    <mergeCell ref="AA17:AB17"/>
    <mergeCell ref="Q16:R16"/>
    <mergeCell ref="S16:T16"/>
    <mergeCell ref="U16:V16"/>
    <mergeCell ref="W16:X16"/>
    <mergeCell ref="Y16:Z16"/>
    <mergeCell ref="AA19:AB19"/>
    <mergeCell ref="Q23:R23"/>
    <mergeCell ref="S23:T23"/>
    <mergeCell ref="U23:V23"/>
    <mergeCell ref="W23:X23"/>
    <mergeCell ref="Y23:Z23"/>
    <mergeCell ref="W31:X31"/>
    <mergeCell ref="Y31:Z31"/>
    <mergeCell ref="AA31:AB31"/>
    <mergeCell ref="Q29:R29"/>
    <mergeCell ref="S29:T29"/>
    <mergeCell ref="U29:V29"/>
    <mergeCell ref="W29:X29"/>
    <mergeCell ref="Y29:Z29"/>
    <mergeCell ref="AA29:AB29"/>
    <mergeCell ref="Q30:R30"/>
    <mergeCell ref="S30:T30"/>
    <mergeCell ref="U30:V30"/>
    <mergeCell ref="W30:X30"/>
    <mergeCell ref="Y30:Z30"/>
    <mergeCell ref="AA30:AB30"/>
    <mergeCell ref="Q31:R31"/>
    <mergeCell ref="S31:T31"/>
    <mergeCell ref="U31:V31"/>
    <mergeCell ref="AA23:AB23"/>
    <mergeCell ref="Q20:R20"/>
    <mergeCell ref="S20:T20"/>
    <mergeCell ref="U20:V20"/>
    <mergeCell ref="W20:X20"/>
    <mergeCell ref="Y20:Z20"/>
    <mergeCell ref="AA20:AB20"/>
    <mergeCell ref="Q21:R21"/>
    <mergeCell ref="S21:T21"/>
    <mergeCell ref="U21:V21"/>
    <mergeCell ref="AA14:AB14"/>
    <mergeCell ref="Q15:R15"/>
    <mergeCell ref="S15:T15"/>
    <mergeCell ref="U15:V15"/>
    <mergeCell ref="W15:X15"/>
    <mergeCell ref="Y15:Z15"/>
    <mergeCell ref="AA15:AB15"/>
    <mergeCell ref="Q14:R14"/>
    <mergeCell ref="S14:T14"/>
    <mergeCell ref="U14:V14"/>
    <mergeCell ref="W14:X14"/>
    <mergeCell ref="Y14:Z14"/>
    <mergeCell ref="AA13:AB13"/>
    <mergeCell ref="S11:T11"/>
    <mergeCell ref="U11:V11"/>
    <mergeCell ref="W11:X11"/>
    <mergeCell ref="Y11:Z11"/>
    <mergeCell ref="AA11:AB11"/>
    <mergeCell ref="Q13:R13"/>
    <mergeCell ref="S13:T13"/>
    <mergeCell ref="U13:V13"/>
    <mergeCell ref="W13:X13"/>
    <mergeCell ref="Y13:Z13"/>
    <mergeCell ref="I9:I10"/>
    <mergeCell ref="J9:J10"/>
    <mergeCell ref="K9:K10"/>
    <mergeCell ref="L9:L10"/>
    <mergeCell ref="M9:M10"/>
    <mergeCell ref="N9:N10"/>
    <mergeCell ref="AA10:AB10"/>
    <mergeCell ref="Q11:R11"/>
    <mergeCell ref="Q12:R12"/>
    <mergeCell ref="S12:T12"/>
    <mergeCell ref="U12:V12"/>
    <mergeCell ref="W12:X12"/>
    <mergeCell ref="Y12:Z12"/>
    <mergeCell ref="AA12:AB12"/>
    <mergeCell ref="Q10:R10"/>
    <mergeCell ref="S10:T10"/>
    <mergeCell ref="U10:V10"/>
    <mergeCell ref="W10:X10"/>
    <mergeCell ref="Y10:Z10"/>
    <mergeCell ref="A31:A34"/>
    <mergeCell ref="A1:AB1"/>
    <mergeCell ref="Q3:R3"/>
    <mergeCell ref="Q6:AB6"/>
    <mergeCell ref="A8:A9"/>
    <mergeCell ref="B8:B9"/>
    <mergeCell ref="P8:P9"/>
    <mergeCell ref="Q8:AB8"/>
    <mergeCell ref="Q9:V9"/>
    <mergeCell ref="W9:AB9"/>
    <mergeCell ref="A11:A14"/>
    <mergeCell ref="A15:A18"/>
    <mergeCell ref="A19:A22"/>
    <mergeCell ref="A23:A26"/>
    <mergeCell ref="A27:A30"/>
    <mergeCell ref="C8:C9"/>
    <mergeCell ref="D8:D9"/>
    <mergeCell ref="E8:I8"/>
    <mergeCell ref="J8:N8"/>
    <mergeCell ref="O8:O9"/>
    <mergeCell ref="E9:E10"/>
    <mergeCell ref="F9:F10"/>
    <mergeCell ref="G9:G10"/>
    <mergeCell ref="H9:H10"/>
  </mergeCells>
  <dataValidations count="1">
    <dataValidation type="whole" allowBlank="1" showInputMessage="1" showErrorMessage="1" errorTitle="RCN Error" error="RCN must be a whole number between 40 and 95" sqref="P5" xr:uid="{00000000-0002-0000-0500-000000000000}">
      <formula1>40</formula1>
      <formula2>95</formula2>
    </dataValidation>
  </dataValidations>
  <pageMargins left="0.7" right="0.7" top="0.75" bottom="0.75" header="0.3" footer="0.3"/>
  <pageSetup scale="72" orientation="landscape" verticalDpi="0" r:id="rId1"/>
  <headerFooter>
    <oddHeader>&amp;LNRCS Nebraska&amp;R10/2016</oddHeader>
  </headerFooter>
  <rowBreaks count="1" manualBreakCount="1">
    <brk id="57" max="8"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County!$B$1:$E$1</xm:f>
          </x14:formula1>
          <xm:sqref>T3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O41"/>
  <sheetViews>
    <sheetView showGridLines="0" showRowColHeaders="0" zoomScale="90" zoomScaleNormal="90" zoomScaleSheetLayoutView="80" workbookViewId="0">
      <selection activeCell="P5" sqref="P5"/>
    </sheetView>
  </sheetViews>
  <sheetFormatPr defaultRowHeight="14.4" x14ac:dyDescent="0.3"/>
  <cols>
    <col min="1" max="1" width="13.5546875" customWidth="1"/>
    <col min="2" max="2" width="19" customWidth="1"/>
    <col min="3" max="4" width="19" hidden="1" customWidth="1"/>
    <col min="5" max="14" width="5.6640625" hidden="1" customWidth="1"/>
    <col min="15" max="15" width="19" hidden="1" customWidth="1"/>
    <col min="16" max="16" width="14.44140625" customWidth="1"/>
    <col min="17" max="17" width="10.6640625" customWidth="1"/>
    <col min="18" max="18" width="8.33203125" customWidth="1"/>
    <col min="19" max="19" width="10.6640625" customWidth="1"/>
    <col min="20" max="20" width="8.33203125" customWidth="1"/>
    <col min="21" max="21" width="10.6640625" customWidth="1"/>
    <col min="22" max="22" width="8.33203125" customWidth="1"/>
    <col min="23" max="23" width="10.6640625" customWidth="1"/>
    <col min="24" max="24" width="8.33203125" customWidth="1"/>
    <col min="25" max="25" width="10.6640625" customWidth="1"/>
    <col min="26" max="26" width="8.33203125" customWidth="1"/>
    <col min="27" max="27" width="10.6640625" customWidth="1"/>
    <col min="28" max="28" width="8.33203125" customWidth="1"/>
  </cols>
  <sheetData>
    <row r="1" spans="1:41" ht="18" customHeight="1" x14ac:dyDescent="0.4">
      <c r="A1" s="211" t="s">
        <v>220</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row>
    <row r="2" spans="1:41" ht="13.5" customHeight="1" x14ac:dyDescent="0.3"/>
    <row r="3" spans="1:41" ht="18" customHeight="1" x14ac:dyDescent="0.3">
      <c r="B3" s="13" t="s">
        <v>57</v>
      </c>
      <c r="C3" s="13"/>
      <c r="D3" s="13"/>
      <c r="E3" s="13" t="s">
        <v>97</v>
      </c>
      <c r="F3" s="13">
        <f>MATCH(T3,County!B1:H1)</f>
        <v>2</v>
      </c>
      <c r="G3" s="13"/>
      <c r="H3" s="13"/>
      <c r="I3" s="13"/>
      <c r="J3" s="13"/>
      <c r="K3" s="13"/>
      <c r="L3" s="13"/>
      <c r="M3" s="13"/>
      <c r="N3" s="13"/>
      <c r="O3" s="13"/>
      <c r="P3" s="117" t="str">
        <f>'Field Worksheet'!B7</f>
        <v>PLATTE</v>
      </c>
      <c r="Q3" s="212">
        <f>VLOOKUP(P3,County!A2:H115,F3+1)</f>
        <v>2.83</v>
      </c>
      <c r="R3" s="213"/>
      <c r="S3" t="s">
        <v>95</v>
      </c>
      <c r="T3" s="39">
        <v>2</v>
      </c>
      <c r="U3" s="9" t="s">
        <v>96</v>
      </c>
      <c r="AO3" s="19" t="e">
        <f>VLOOKUP(P3,RainfallZones,3)</f>
        <v>#NAME?</v>
      </c>
    </row>
    <row r="4" spans="1:41" ht="18" customHeight="1" x14ac:dyDescent="0.3"/>
    <row r="5" spans="1:41" ht="18" customHeight="1" x14ac:dyDescent="0.3">
      <c r="B5" s="5" t="s">
        <v>16</v>
      </c>
      <c r="C5" s="5"/>
      <c r="E5" s="5" t="s">
        <v>86</v>
      </c>
      <c r="F5" s="8">
        <f>MIN(MAX(ROUNDUP(0.2*((1000/$P$5)-10)/$Q$3,2),0.1),0.5)</f>
        <v>0.17</v>
      </c>
      <c r="G5" s="5"/>
      <c r="H5" s="5"/>
      <c r="I5" s="5"/>
      <c r="J5" s="5"/>
      <c r="K5" s="5"/>
      <c r="L5" s="5"/>
      <c r="M5" s="5"/>
      <c r="N5" s="5"/>
      <c r="O5" s="5"/>
      <c r="P5" s="30">
        <v>81</v>
      </c>
      <c r="Q5" s="17" t="s">
        <v>24</v>
      </c>
    </row>
    <row r="6" spans="1:41" ht="18" customHeight="1" x14ac:dyDescent="0.3">
      <c r="B6" s="5"/>
      <c r="C6" s="5"/>
      <c r="D6" s="5"/>
      <c r="E6" s="5" t="s">
        <v>94</v>
      </c>
      <c r="F6" s="5"/>
      <c r="G6" s="5"/>
      <c r="H6" s="5"/>
      <c r="I6" s="5"/>
      <c r="J6" s="5" t="s">
        <v>93</v>
      </c>
      <c r="K6" s="5"/>
      <c r="L6" s="5"/>
      <c r="M6" s="5"/>
      <c r="N6" s="5"/>
      <c r="P6" s="2">
        <f>ROUNDUP(($Q$3-(0.2*(1000/$P$5-10)))^2/($Q$3+0.8*(1000/$P$5-10)),2)</f>
        <v>1.19</v>
      </c>
      <c r="Q6" s="214" t="s">
        <v>98</v>
      </c>
      <c r="R6" s="214"/>
      <c r="S6" s="214"/>
      <c r="T6" s="214"/>
      <c r="U6" s="214"/>
      <c r="V6" s="214"/>
      <c r="W6" s="214"/>
      <c r="X6" s="214"/>
      <c r="Y6" s="214"/>
      <c r="Z6" s="214"/>
      <c r="AA6" s="214"/>
      <c r="AB6" s="214"/>
    </row>
    <row r="7" spans="1:41" ht="18" customHeight="1" x14ac:dyDescent="0.3">
      <c r="E7" s="14">
        <f>IFERROR(MATCH(my_Iap,IaP_List,1),1)</f>
        <v>1</v>
      </c>
      <c r="J7">
        <f>IF(OR(my_Iap=0.1,my_Iap=0.5),Row_1,Row_1+1)</f>
        <v>2</v>
      </c>
      <c r="P7" s="10"/>
      <c r="Q7" s="9"/>
      <c r="R7" s="9"/>
    </row>
    <row r="8" spans="1:41" ht="18" customHeight="1" x14ac:dyDescent="0.3">
      <c r="A8" s="219" t="s">
        <v>17</v>
      </c>
      <c r="B8" s="217" t="s">
        <v>18</v>
      </c>
      <c r="C8" s="222" t="s">
        <v>80</v>
      </c>
      <c r="D8" s="222" t="s">
        <v>81</v>
      </c>
      <c r="E8" s="202" t="s">
        <v>94</v>
      </c>
      <c r="F8" s="202"/>
      <c r="G8" s="202"/>
      <c r="H8" s="202"/>
      <c r="I8" s="203"/>
      <c r="J8" s="202" t="s">
        <v>93</v>
      </c>
      <c r="K8" s="202"/>
      <c r="L8" s="202"/>
      <c r="M8" s="202"/>
      <c r="N8" s="203"/>
      <c r="O8" s="222" t="s">
        <v>83</v>
      </c>
      <c r="P8" s="215" t="s">
        <v>19</v>
      </c>
      <c r="Q8" s="221" t="s">
        <v>227</v>
      </c>
      <c r="R8" s="221"/>
      <c r="S8" s="221"/>
      <c r="T8" s="221"/>
      <c r="U8" s="221"/>
      <c r="V8" s="221"/>
      <c r="W8" s="221"/>
      <c r="X8" s="221"/>
      <c r="Y8" s="221"/>
      <c r="Z8" s="221"/>
      <c r="AA8" s="221"/>
      <c r="AB8" s="221"/>
    </row>
    <row r="9" spans="1:41" ht="18" customHeight="1" x14ac:dyDescent="0.3">
      <c r="A9" s="218"/>
      <c r="B9" s="218"/>
      <c r="C9" s="204"/>
      <c r="D9" s="204"/>
      <c r="E9" s="204" t="s">
        <v>91</v>
      </c>
      <c r="F9" s="204" t="s">
        <v>87</v>
      </c>
      <c r="G9" s="204" t="s">
        <v>88</v>
      </c>
      <c r="H9" s="204" t="s">
        <v>89</v>
      </c>
      <c r="I9" s="204" t="s">
        <v>92</v>
      </c>
      <c r="J9" s="204" t="s">
        <v>91</v>
      </c>
      <c r="K9" s="204" t="s">
        <v>87</v>
      </c>
      <c r="L9" s="204" t="s">
        <v>88</v>
      </c>
      <c r="M9" s="204" t="s">
        <v>89</v>
      </c>
      <c r="N9" s="204" t="s">
        <v>92</v>
      </c>
      <c r="O9" s="204"/>
      <c r="P9" s="216"/>
      <c r="Q9" s="220" t="s">
        <v>26</v>
      </c>
      <c r="R9" s="220"/>
      <c r="S9" s="220"/>
      <c r="T9" s="220"/>
      <c r="U9" s="220"/>
      <c r="V9" s="220"/>
      <c r="W9" s="220" t="s">
        <v>52</v>
      </c>
      <c r="X9" s="220"/>
      <c r="Y9" s="220"/>
      <c r="Z9" s="220"/>
      <c r="AA9" s="220"/>
      <c r="AB9" s="220"/>
    </row>
    <row r="10" spans="1:41" ht="18" customHeight="1" x14ac:dyDescent="0.3">
      <c r="A10" s="4" t="s">
        <v>13</v>
      </c>
      <c r="B10" s="4" t="s">
        <v>14</v>
      </c>
      <c r="C10" s="14" t="s">
        <v>79</v>
      </c>
      <c r="D10" s="14" t="s">
        <v>82</v>
      </c>
      <c r="E10" s="205"/>
      <c r="F10" s="205"/>
      <c r="G10" s="205"/>
      <c r="H10" s="205"/>
      <c r="I10" s="205"/>
      <c r="J10" s="205"/>
      <c r="K10" s="205"/>
      <c r="L10" s="205"/>
      <c r="M10" s="205"/>
      <c r="N10" s="205"/>
      <c r="O10" s="14" t="s">
        <v>84</v>
      </c>
      <c r="P10" s="14" t="s">
        <v>0</v>
      </c>
      <c r="Q10" s="200" t="s">
        <v>223</v>
      </c>
      <c r="R10" s="201"/>
      <c r="S10" s="200" t="s">
        <v>224</v>
      </c>
      <c r="T10" s="201"/>
      <c r="U10" s="200" t="s">
        <v>225</v>
      </c>
      <c r="V10" s="201"/>
      <c r="W10" s="200" t="s">
        <v>223</v>
      </c>
      <c r="X10" s="201"/>
      <c r="Y10" s="200" t="s">
        <v>224</v>
      </c>
      <c r="Z10" s="201"/>
      <c r="AA10" s="200" t="s">
        <v>225</v>
      </c>
      <c r="AB10" s="201"/>
    </row>
    <row r="11" spans="1:41" ht="18" customHeight="1" x14ac:dyDescent="0.3">
      <c r="A11" s="210">
        <v>1</v>
      </c>
      <c r="B11" s="87">
        <v>4</v>
      </c>
      <c r="C11" s="38">
        <f>ROUND(1.5*SQRT(A11*43560)/10,0)*10</f>
        <v>310</v>
      </c>
      <c r="D11" s="38">
        <f>ROUNDUP((C11^0.8)*(((1000/$P$5)-9)^0.7)/(1140*B11^0.5),2)</f>
        <v>0.11</v>
      </c>
      <c r="E11" s="38">
        <f t="shared" ref="E11:E34" si="0">INDEX(IaP_List,Row_1)</f>
        <v>0.1</v>
      </c>
      <c r="F11" s="38">
        <f t="shared" ref="F11:F34" si="1">INDEX(Coeff0_List,Row_1)</f>
        <v>2.5532300000000001</v>
      </c>
      <c r="G11" s="38">
        <f t="shared" ref="G11:G34" si="2">INDEX(Coeff1_List,Row_1)</f>
        <v>-0.61512</v>
      </c>
      <c r="H11" s="38">
        <f t="shared" ref="H11:H34" si="3">INDEX(Coeff2_List,Row_1)</f>
        <v>-0.16403000000000001</v>
      </c>
      <c r="I11" s="2">
        <f>F11+(G11*LOG($D11))+(H11*LOG($D11)^2)</f>
        <v>2.9921567742787727</v>
      </c>
      <c r="J11" s="38">
        <f t="shared" ref="J11:J34" si="4">INDEX(IaP_List,Row_2)</f>
        <v>0.3</v>
      </c>
      <c r="K11" s="38">
        <f t="shared" ref="K11:K34" si="5">INDEX(Coeff0_List,Row_2)</f>
        <v>2.4653200000000002</v>
      </c>
      <c r="L11" s="38">
        <f t="shared" ref="L11:L34" si="6">INDEX(Coeff1_List,Row_2)</f>
        <v>-0.62256999999999996</v>
      </c>
      <c r="M11" s="38">
        <f t="shared" ref="M11:M34" si="7">INDEX(Coeff2_List,Row_2)</f>
        <v>-0.11656999999999999</v>
      </c>
      <c r="N11" s="2">
        <f>K11+(L11*LOG($D11))+(M11*LOG($D11)^2)</f>
        <v>2.955000720898219</v>
      </c>
      <c r="O11" s="38">
        <f t="shared" ref="O11:O34" si="8">10^(IF(Row_1=Row_2,$I11,((N11-I11)*((E11-my_Iap)/(E11-J11))+I11)))/640</f>
        <v>1.470275680095259</v>
      </c>
      <c r="P11" s="29">
        <f>O11*A11*$P$6</f>
        <v>1.7496280593133582</v>
      </c>
      <c r="Q11" s="227" t="str">
        <f t="shared" ref="Q11:Q34" si="9">IF(VLOOKUP($P11,NoTillErosResBedS,2,TRUE)&gt;0,VLOOKUP($P11,NoTillErosResBedS,2,TRUE)&amp;"%","-")</f>
        <v>11%</v>
      </c>
      <c r="R11" s="228"/>
      <c r="S11" s="227" t="str">
        <f t="shared" ref="S11:S34" si="10">IF(VLOOKUP($P11,NoTillErosResBedS,4,TRUE)&gt;0,VLOOKUP($P11,NoTillErosResBedS,4,TRUE)&amp;"%","-")</f>
        <v>16%</v>
      </c>
      <c r="T11" s="228"/>
      <c r="U11" s="227" t="str">
        <f t="shared" ref="U11:U34" si="11">IF(VLOOKUP($P11,NoTillErosResBedS,6,TRUE)&gt;0,VLOOKUP($P11,NoTillErosResBedS,6,TRUE)&amp;"%","-")</f>
        <v>20%</v>
      </c>
      <c r="V11" s="228"/>
      <c r="W11" s="227" t="str">
        <f t="shared" ref="W11:W34" si="12">IF(VLOOKUP($P11,NoTillErodibleBedS,2,TRUE)&gt;0,VLOOKUP($P11,NoTillErodibleBedS,2,TRUE)&amp;"%","-")</f>
        <v>5.5%</v>
      </c>
      <c r="X11" s="228"/>
      <c r="Y11" s="227" t="str">
        <f t="shared" ref="Y11:Y34" si="13">IF(VLOOKUP($P11,NoTillErodibleBedS,4,TRUE)&gt;0,VLOOKUP($P11,NoTillErodibleBedS,4,TRUE)&amp;"%","-")</f>
        <v>7.6%</v>
      </c>
      <c r="Z11" s="228"/>
      <c r="AA11" s="227" t="str">
        <f t="shared" ref="AA11:AA34" si="14">IF(VLOOKUP($P11,NoTillErodibleBedS,6,TRUE)&gt;0,VLOOKUP($P11,NoTillErodibleBedS,6,TRUE)&amp;"%","-")</f>
        <v>9.6%</v>
      </c>
      <c r="AB11" s="228"/>
    </row>
    <row r="12" spans="1:41" ht="18" customHeight="1" x14ac:dyDescent="0.3">
      <c r="A12" s="207"/>
      <c r="B12" s="88">
        <v>6</v>
      </c>
      <c r="C12" s="14">
        <f>C11</f>
        <v>310</v>
      </c>
      <c r="D12" s="14">
        <f t="shared" ref="D12:D34" si="15">ROUNDUP((C12^0.8)*(((1000/$P$5)-9)^0.7)/(1140*B12^0.5),2)</f>
        <v>0.09</v>
      </c>
      <c r="E12" s="14">
        <f t="shared" si="0"/>
        <v>0.1</v>
      </c>
      <c r="F12" s="14">
        <f t="shared" si="1"/>
        <v>2.5532300000000001</v>
      </c>
      <c r="G12" s="14">
        <f t="shared" si="2"/>
        <v>-0.61512</v>
      </c>
      <c r="H12" s="14">
        <f t="shared" si="3"/>
        <v>-0.16403000000000001</v>
      </c>
      <c r="I12" s="2">
        <f t="shared" ref="I12:I34" si="16">F12+(G12*LOG($D12))+(H12*LOG($D12)^2)</f>
        <v>3.0171117077653538</v>
      </c>
      <c r="J12" s="14">
        <f t="shared" si="4"/>
        <v>0.3</v>
      </c>
      <c r="K12" s="14">
        <f t="shared" si="5"/>
        <v>2.4653200000000002</v>
      </c>
      <c r="L12" s="14">
        <f t="shared" si="6"/>
        <v>-0.62256999999999996</v>
      </c>
      <c r="M12" s="14">
        <f t="shared" si="7"/>
        <v>-0.11656999999999999</v>
      </c>
      <c r="N12" s="2">
        <f t="shared" ref="N12:N34" si="17">K12+(L12*LOG($D12))+(M12*LOG($D12)^2)</f>
        <v>2.9888952713513972</v>
      </c>
      <c r="O12" s="14">
        <f t="shared" si="8"/>
        <v>1.5733433743521876</v>
      </c>
      <c r="P12" s="29">
        <f>O12*A11*$P$6</f>
        <v>1.8722786154791031</v>
      </c>
      <c r="Q12" s="227" t="str">
        <f t="shared" si="9"/>
        <v>11%</v>
      </c>
      <c r="R12" s="228"/>
      <c r="S12" s="227" t="str">
        <f t="shared" si="10"/>
        <v>16%</v>
      </c>
      <c r="T12" s="228"/>
      <c r="U12" s="227" t="str">
        <f t="shared" si="11"/>
        <v>20%</v>
      </c>
      <c r="V12" s="228"/>
      <c r="W12" s="227" t="str">
        <f t="shared" si="12"/>
        <v>5.5%</v>
      </c>
      <c r="X12" s="228"/>
      <c r="Y12" s="227" t="str">
        <f t="shared" si="13"/>
        <v>7.6%</v>
      </c>
      <c r="Z12" s="228"/>
      <c r="AA12" s="227" t="str">
        <f t="shared" si="14"/>
        <v>9.6%</v>
      </c>
      <c r="AB12" s="228"/>
    </row>
    <row r="13" spans="1:41" ht="18" customHeight="1" x14ac:dyDescent="0.3">
      <c r="A13" s="207"/>
      <c r="B13" s="88">
        <v>8</v>
      </c>
      <c r="C13" s="14">
        <f>C11</f>
        <v>310</v>
      </c>
      <c r="D13" s="14">
        <f t="shared" si="15"/>
        <v>0.08</v>
      </c>
      <c r="E13" s="14">
        <f t="shared" si="0"/>
        <v>0.1</v>
      </c>
      <c r="F13" s="14">
        <f t="shared" si="1"/>
        <v>2.5532300000000001</v>
      </c>
      <c r="G13" s="14">
        <f t="shared" si="2"/>
        <v>-0.61512</v>
      </c>
      <c r="H13" s="14">
        <f t="shared" si="3"/>
        <v>-0.16403000000000001</v>
      </c>
      <c r="I13" s="2">
        <f t="shared" si="16"/>
        <v>3.0305984922856934</v>
      </c>
      <c r="J13" s="14">
        <f t="shared" si="4"/>
        <v>0.3</v>
      </c>
      <c r="K13" s="14">
        <f t="shared" si="5"/>
        <v>2.4653200000000002</v>
      </c>
      <c r="L13" s="14">
        <f t="shared" si="6"/>
        <v>-0.62256999999999996</v>
      </c>
      <c r="M13" s="14">
        <f t="shared" si="7"/>
        <v>-0.11656999999999999</v>
      </c>
      <c r="N13" s="2">
        <f t="shared" si="17"/>
        <v>3.0079648933098118</v>
      </c>
      <c r="O13" s="14">
        <f t="shared" si="8"/>
        <v>1.6334344799518139</v>
      </c>
      <c r="P13" s="29">
        <f>O13*A11*$P$6</f>
        <v>1.9437870311426584</v>
      </c>
      <c r="Q13" s="227" t="str">
        <f t="shared" si="9"/>
        <v>11%</v>
      </c>
      <c r="R13" s="228"/>
      <c r="S13" s="227" t="str">
        <f t="shared" si="10"/>
        <v>16%</v>
      </c>
      <c r="T13" s="228"/>
      <c r="U13" s="227" t="str">
        <f t="shared" si="11"/>
        <v>20%</v>
      </c>
      <c r="V13" s="228"/>
      <c r="W13" s="227" t="str">
        <f t="shared" si="12"/>
        <v>5.5%</v>
      </c>
      <c r="X13" s="228"/>
      <c r="Y13" s="227" t="str">
        <f t="shared" si="13"/>
        <v>7.6%</v>
      </c>
      <c r="Z13" s="228"/>
      <c r="AA13" s="227" t="str">
        <f t="shared" si="14"/>
        <v>9.6%</v>
      </c>
      <c r="AB13" s="228"/>
    </row>
    <row r="14" spans="1:41" ht="18" customHeight="1" thickBot="1" x14ac:dyDescent="0.35">
      <c r="A14" s="208"/>
      <c r="B14" s="89">
        <v>10</v>
      </c>
      <c r="C14" s="33">
        <f>C11</f>
        <v>310</v>
      </c>
      <c r="D14" s="33">
        <f t="shared" si="15"/>
        <v>6.9999999999999993E-2</v>
      </c>
      <c r="E14" s="33">
        <f t="shared" si="0"/>
        <v>0.1</v>
      </c>
      <c r="F14" s="33">
        <f t="shared" si="1"/>
        <v>2.5532300000000001</v>
      </c>
      <c r="G14" s="33">
        <f t="shared" si="2"/>
        <v>-0.61512</v>
      </c>
      <c r="H14" s="33">
        <f t="shared" si="3"/>
        <v>-0.16403000000000001</v>
      </c>
      <c r="I14" s="6">
        <f t="shared" si="16"/>
        <v>3.0448503195729733</v>
      </c>
      <c r="J14" s="33">
        <f t="shared" si="4"/>
        <v>0.3</v>
      </c>
      <c r="K14" s="33">
        <f t="shared" si="5"/>
        <v>2.4653200000000002</v>
      </c>
      <c r="L14" s="33">
        <f t="shared" si="6"/>
        <v>-0.62256999999999996</v>
      </c>
      <c r="M14" s="33">
        <f t="shared" si="7"/>
        <v>-0.11656999999999999</v>
      </c>
      <c r="N14" s="6">
        <f t="shared" si="17"/>
        <v>3.0288464177493788</v>
      </c>
      <c r="O14" s="33">
        <f t="shared" si="8"/>
        <v>1.7008593222227677</v>
      </c>
      <c r="P14" s="34">
        <f>O14*A11*$P$6</f>
        <v>2.0240225934450935</v>
      </c>
      <c r="Q14" s="198" t="str">
        <f t="shared" si="9"/>
        <v>6%</v>
      </c>
      <c r="R14" s="199"/>
      <c r="S14" s="198" t="str">
        <f t="shared" si="10"/>
        <v>8.5%</v>
      </c>
      <c r="T14" s="199"/>
      <c r="U14" s="198" t="str">
        <f t="shared" si="11"/>
        <v>11%</v>
      </c>
      <c r="V14" s="199"/>
      <c r="W14" s="198" t="str">
        <f t="shared" si="12"/>
        <v>3%</v>
      </c>
      <c r="X14" s="199"/>
      <c r="Y14" s="198" t="str">
        <f t="shared" si="13"/>
        <v>4.2%</v>
      </c>
      <c r="Z14" s="199"/>
      <c r="AA14" s="198" t="str">
        <f t="shared" si="14"/>
        <v>5.3%</v>
      </c>
      <c r="AB14" s="199"/>
    </row>
    <row r="15" spans="1:41" ht="18" customHeight="1" x14ac:dyDescent="0.3">
      <c r="A15" s="206">
        <v>2</v>
      </c>
      <c r="B15" s="90">
        <v>4</v>
      </c>
      <c r="C15" s="35">
        <f>ROUND(1.5*SQRT(A15*43560)/10,0)*10</f>
        <v>440</v>
      </c>
      <c r="D15" s="35">
        <f t="shared" si="15"/>
        <v>0.14000000000000001</v>
      </c>
      <c r="E15" s="35">
        <f t="shared" si="0"/>
        <v>0.1</v>
      </c>
      <c r="F15" s="35">
        <f t="shared" si="1"/>
        <v>2.5532300000000001</v>
      </c>
      <c r="G15" s="35">
        <f t="shared" si="2"/>
        <v>-0.61512</v>
      </c>
      <c r="H15" s="35">
        <f t="shared" si="3"/>
        <v>-0.16403000000000001</v>
      </c>
      <c r="I15" s="36">
        <f t="shared" si="16"/>
        <v>2.9588698874150872</v>
      </c>
      <c r="J15" s="35">
        <f t="shared" si="4"/>
        <v>0.3</v>
      </c>
      <c r="K15" s="35">
        <f t="shared" si="5"/>
        <v>2.4653200000000002</v>
      </c>
      <c r="L15" s="35">
        <f t="shared" si="6"/>
        <v>-0.62256999999999996</v>
      </c>
      <c r="M15" s="35">
        <f t="shared" si="7"/>
        <v>-0.11656999999999999</v>
      </c>
      <c r="N15" s="36">
        <f t="shared" si="17"/>
        <v>2.9119241929001247</v>
      </c>
      <c r="O15" s="35">
        <f t="shared" si="8"/>
        <v>1.3465332011439939</v>
      </c>
      <c r="P15" s="37">
        <f>O15*A15*$P$6</f>
        <v>3.2047490187227052</v>
      </c>
      <c r="Q15" s="196" t="str">
        <f t="shared" si="9"/>
        <v>4.5%</v>
      </c>
      <c r="R15" s="197"/>
      <c r="S15" s="196" t="str">
        <f t="shared" si="10"/>
        <v>6%</v>
      </c>
      <c r="T15" s="197"/>
      <c r="U15" s="196" t="str">
        <f t="shared" si="11"/>
        <v>8%</v>
      </c>
      <c r="V15" s="197"/>
      <c r="W15" s="196" t="str">
        <f t="shared" si="12"/>
        <v>2.1%</v>
      </c>
      <c r="X15" s="197"/>
      <c r="Y15" s="196" t="str">
        <f t="shared" si="13"/>
        <v>3%</v>
      </c>
      <c r="Z15" s="197"/>
      <c r="AA15" s="196" t="str">
        <f t="shared" si="14"/>
        <v>3.9%</v>
      </c>
      <c r="AB15" s="197"/>
    </row>
    <row r="16" spans="1:41" ht="18" customHeight="1" x14ac:dyDescent="0.3">
      <c r="A16" s="207"/>
      <c r="B16" s="91">
        <v>6</v>
      </c>
      <c r="C16" s="14">
        <f>C15</f>
        <v>440</v>
      </c>
      <c r="D16" s="14">
        <f t="shared" si="15"/>
        <v>0.11</v>
      </c>
      <c r="E16" s="14">
        <f t="shared" si="0"/>
        <v>0.1</v>
      </c>
      <c r="F16" s="14">
        <f t="shared" si="1"/>
        <v>2.5532300000000001</v>
      </c>
      <c r="G16" s="14">
        <f t="shared" si="2"/>
        <v>-0.61512</v>
      </c>
      <c r="H16" s="14">
        <f t="shared" si="3"/>
        <v>-0.16403000000000001</v>
      </c>
      <c r="I16" s="2">
        <f t="shared" si="16"/>
        <v>2.9921567742787727</v>
      </c>
      <c r="J16" s="14">
        <f t="shared" si="4"/>
        <v>0.3</v>
      </c>
      <c r="K16" s="14">
        <f t="shared" si="5"/>
        <v>2.4653200000000002</v>
      </c>
      <c r="L16" s="14">
        <f t="shared" si="6"/>
        <v>-0.62256999999999996</v>
      </c>
      <c r="M16" s="14">
        <f t="shared" si="7"/>
        <v>-0.11656999999999999</v>
      </c>
      <c r="N16" s="2">
        <f t="shared" si="17"/>
        <v>2.955000720898219</v>
      </c>
      <c r="O16" s="14">
        <f t="shared" si="8"/>
        <v>1.470275680095259</v>
      </c>
      <c r="P16" s="29">
        <f>O16*A15*$P$6</f>
        <v>3.4992561186267164</v>
      </c>
      <c r="Q16" s="227" t="str">
        <f t="shared" si="9"/>
        <v>4.5%</v>
      </c>
      <c r="R16" s="228"/>
      <c r="S16" s="227" t="str">
        <f t="shared" si="10"/>
        <v>6%</v>
      </c>
      <c r="T16" s="228"/>
      <c r="U16" s="227" t="str">
        <f t="shared" si="11"/>
        <v>8%</v>
      </c>
      <c r="V16" s="228"/>
      <c r="W16" s="227" t="str">
        <f t="shared" si="12"/>
        <v>2.1%</v>
      </c>
      <c r="X16" s="228"/>
      <c r="Y16" s="227" t="str">
        <f t="shared" si="13"/>
        <v>3%</v>
      </c>
      <c r="Z16" s="228"/>
      <c r="AA16" s="227" t="str">
        <f t="shared" si="14"/>
        <v>3.9%</v>
      </c>
      <c r="AB16" s="228"/>
    </row>
    <row r="17" spans="1:28" ht="18" customHeight="1" x14ac:dyDescent="0.3">
      <c r="A17" s="207"/>
      <c r="B17" s="91">
        <v>8</v>
      </c>
      <c r="C17" s="14">
        <f>C15</f>
        <v>440</v>
      </c>
      <c r="D17" s="14">
        <f t="shared" si="15"/>
        <v>9.9999999999999992E-2</v>
      </c>
      <c r="E17" s="14">
        <f t="shared" si="0"/>
        <v>0.1</v>
      </c>
      <c r="F17" s="14">
        <f t="shared" si="1"/>
        <v>2.5532300000000001</v>
      </c>
      <c r="G17" s="14">
        <f t="shared" si="2"/>
        <v>-0.61512</v>
      </c>
      <c r="H17" s="14">
        <f t="shared" si="3"/>
        <v>-0.16403000000000001</v>
      </c>
      <c r="I17" s="2">
        <f t="shared" si="16"/>
        <v>3.0043200000000003</v>
      </c>
      <c r="J17" s="14">
        <f t="shared" si="4"/>
        <v>0.3</v>
      </c>
      <c r="K17" s="14">
        <f t="shared" si="5"/>
        <v>2.4653200000000002</v>
      </c>
      <c r="L17" s="14">
        <f t="shared" si="6"/>
        <v>-0.62256999999999996</v>
      </c>
      <c r="M17" s="14">
        <f t="shared" si="7"/>
        <v>-0.11656999999999999</v>
      </c>
      <c r="N17" s="2">
        <f t="shared" si="17"/>
        <v>2.9713200000000004</v>
      </c>
      <c r="O17" s="14">
        <f t="shared" si="8"/>
        <v>1.5192877145768793</v>
      </c>
      <c r="P17" s="29">
        <f>O17*A15*$P$6</f>
        <v>3.6159047606929726</v>
      </c>
      <c r="Q17" s="227" t="str">
        <f t="shared" si="9"/>
        <v>4.5%</v>
      </c>
      <c r="R17" s="228"/>
      <c r="S17" s="227" t="str">
        <f t="shared" si="10"/>
        <v>6%</v>
      </c>
      <c r="T17" s="228"/>
      <c r="U17" s="227" t="str">
        <f t="shared" si="11"/>
        <v>8%</v>
      </c>
      <c r="V17" s="228"/>
      <c r="W17" s="227" t="str">
        <f t="shared" si="12"/>
        <v>2.1%</v>
      </c>
      <c r="X17" s="228"/>
      <c r="Y17" s="227" t="str">
        <f t="shared" si="13"/>
        <v>3%</v>
      </c>
      <c r="Z17" s="228"/>
      <c r="AA17" s="227" t="str">
        <f t="shared" si="14"/>
        <v>3.9%</v>
      </c>
      <c r="AB17" s="228"/>
    </row>
    <row r="18" spans="1:28" ht="18" customHeight="1" thickBot="1" x14ac:dyDescent="0.35">
      <c r="A18" s="208"/>
      <c r="B18" s="92">
        <v>10</v>
      </c>
      <c r="C18" s="33">
        <f>C15</f>
        <v>440</v>
      </c>
      <c r="D18" s="33">
        <f t="shared" si="15"/>
        <v>0.09</v>
      </c>
      <c r="E18" s="33">
        <f t="shared" si="0"/>
        <v>0.1</v>
      </c>
      <c r="F18" s="33">
        <f t="shared" si="1"/>
        <v>2.5532300000000001</v>
      </c>
      <c r="G18" s="33">
        <f t="shared" si="2"/>
        <v>-0.61512</v>
      </c>
      <c r="H18" s="33">
        <f t="shared" si="3"/>
        <v>-0.16403000000000001</v>
      </c>
      <c r="I18" s="6">
        <f t="shared" si="16"/>
        <v>3.0171117077653538</v>
      </c>
      <c r="J18" s="33">
        <f t="shared" si="4"/>
        <v>0.3</v>
      </c>
      <c r="K18" s="33">
        <f t="shared" si="5"/>
        <v>2.4653200000000002</v>
      </c>
      <c r="L18" s="33">
        <f t="shared" si="6"/>
        <v>-0.62256999999999996</v>
      </c>
      <c r="M18" s="33">
        <f t="shared" si="7"/>
        <v>-0.11656999999999999</v>
      </c>
      <c r="N18" s="6">
        <f t="shared" si="17"/>
        <v>2.9888952713513972</v>
      </c>
      <c r="O18" s="33">
        <f t="shared" si="8"/>
        <v>1.5733433743521876</v>
      </c>
      <c r="P18" s="34">
        <f>O18*A15*$P$6</f>
        <v>3.7445572309582063</v>
      </c>
      <c r="Q18" s="198" t="str">
        <f t="shared" si="9"/>
        <v>4.5%</v>
      </c>
      <c r="R18" s="199"/>
      <c r="S18" s="198" t="str">
        <f t="shared" si="10"/>
        <v>6%</v>
      </c>
      <c r="T18" s="199"/>
      <c r="U18" s="198" t="str">
        <f t="shared" si="11"/>
        <v>8%</v>
      </c>
      <c r="V18" s="199"/>
      <c r="W18" s="198" t="str">
        <f t="shared" si="12"/>
        <v>2.1%</v>
      </c>
      <c r="X18" s="199"/>
      <c r="Y18" s="198" t="str">
        <f t="shared" si="13"/>
        <v>3%</v>
      </c>
      <c r="Z18" s="199"/>
      <c r="AA18" s="198" t="str">
        <f t="shared" si="14"/>
        <v>3.9%</v>
      </c>
      <c r="AB18" s="199"/>
    </row>
    <row r="19" spans="1:28" ht="18" customHeight="1" x14ac:dyDescent="0.3">
      <c r="A19" s="206">
        <v>4</v>
      </c>
      <c r="B19" s="90">
        <v>4</v>
      </c>
      <c r="C19" s="35">
        <f>ROUND(1.5*SQRT(A19*43560)/10,0)*10</f>
        <v>630</v>
      </c>
      <c r="D19" s="35">
        <f t="shared" si="15"/>
        <v>0.18000000000000002</v>
      </c>
      <c r="E19" s="35">
        <f t="shared" si="0"/>
        <v>0.1</v>
      </c>
      <c r="F19" s="35">
        <f t="shared" si="1"/>
        <v>2.5532300000000001</v>
      </c>
      <c r="G19" s="35">
        <f t="shared" si="2"/>
        <v>-0.61512</v>
      </c>
      <c r="H19" s="35">
        <f t="shared" si="3"/>
        <v>-0.16403000000000001</v>
      </c>
      <c r="I19" s="36">
        <f t="shared" si="16"/>
        <v>2.9203526152581674</v>
      </c>
      <c r="J19" s="35">
        <f t="shared" si="4"/>
        <v>0.3</v>
      </c>
      <c r="K19" s="35">
        <f t="shared" si="5"/>
        <v>2.4653200000000002</v>
      </c>
      <c r="L19" s="35">
        <f t="shared" si="6"/>
        <v>-0.62256999999999996</v>
      </c>
      <c r="M19" s="35">
        <f t="shared" si="7"/>
        <v>-0.11656999999999999</v>
      </c>
      <c r="N19" s="36">
        <f t="shared" si="17"/>
        <v>2.8643130548120994</v>
      </c>
      <c r="O19" s="35">
        <f t="shared" si="8"/>
        <v>1.219418729010626</v>
      </c>
      <c r="P19" s="37">
        <f>O19*A19*$P$6</f>
        <v>5.8044331500905795</v>
      </c>
      <c r="Q19" s="196" t="str">
        <f t="shared" si="9"/>
        <v>2.8%</v>
      </c>
      <c r="R19" s="197"/>
      <c r="S19" s="196" t="str">
        <f t="shared" si="10"/>
        <v>4%</v>
      </c>
      <c r="T19" s="197"/>
      <c r="U19" s="196" t="str">
        <f t="shared" si="11"/>
        <v>5%</v>
      </c>
      <c r="V19" s="197"/>
      <c r="W19" s="196" t="str">
        <f t="shared" si="12"/>
        <v>1.4%</v>
      </c>
      <c r="X19" s="197"/>
      <c r="Y19" s="196" t="str">
        <f t="shared" si="13"/>
        <v>1.9%</v>
      </c>
      <c r="Z19" s="197"/>
      <c r="AA19" s="196" t="str">
        <f t="shared" si="14"/>
        <v>2.5%</v>
      </c>
      <c r="AB19" s="197"/>
    </row>
    <row r="20" spans="1:28" ht="18" customHeight="1" x14ac:dyDescent="0.3">
      <c r="A20" s="207"/>
      <c r="B20" s="91">
        <v>6</v>
      </c>
      <c r="C20" s="14">
        <f>C19</f>
        <v>630</v>
      </c>
      <c r="D20" s="14">
        <f t="shared" si="15"/>
        <v>0.15000000000000002</v>
      </c>
      <c r="E20" s="14">
        <f t="shared" si="0"/>
        <v>0.1</v>
      </c>
      <c r="F20" s="14">
        <f t="shared" si="1"/>
        <v>2.5532300000000001</v>
      </c>
      <c r="G20" s="14">
        <f t="shared" si="2"/>
        <v>-0.61512</v>
      </c>
      <c r="H20" s="14">
        <f t="shared" si="3"/>
        <v>-0.16403000000000001</v>
      </c>
      <c r="I20" s="2">
        <f t="shared" si="16"/>
        <v>2.9486849793629371</v>
      </c>
      <c r="J20" s="14">
        <f t="shared" si="4"/>
        <v>0.3</v>
      </c>
      <c r="K20" s="14">
        <f t="shared" si="5"/>
        <v>2.4653200000000002</v>
      </c>
      <c r="L20" s="14">
        <f t="shared" si="6"/>
        <v>-0.62256999999999996</v>
      </c>
      <c r="M20" s="14">
        <f t="shared" si="7"/>
        <v>-0.11656999999999999</v>
      </c>
      <c r="N20" s="2">
        <f t="shared" si="17"/>
        <v>2.8991301630951476</v>
      </c>
      <c r="O20" s="14">
        <f t="shared" si="8"/>
        <v>1.311377105258446</v>
      </c>
      <c r="P20" s="29">
        <f>O20*A19*$P$6</f>
        <v>6.2421550210302028</v>
      </c>
      <c r="Q20" s="227" t="str">
        <f t="shared" si="9"/>
        <v>2.4%</v>
      </c>
      <c r="R20" s="228"/>
      <c r="S20" s="227" t="str">
        <f t="shared" si="10"/>
        <v>3.5%</v>
      </c>
      <c r="T20" s="228"/>
      <c r="U20" s="227" t="str">
        <f t="shared" si="11"/>
        <v>4.4%</v>
      </c>
      <c r="V20" s="228"/>
      <c r="W20" s="227" t="str">
        <f t="shared" si="12"/>
        <v>1.2%</v>
      </c>
      <c r="X20" s="228"/>
      <c r="Y20" s="227" t="str">
        <f t="shared" si="13"/>
        <v>1.7%</v>
      </c>
      <c r="Z20" s="228"/>
      <c r="AA20" s="227" t="str">
        <f t="shared" si="14"/>
        <v>2.1%</v>
      </c>
      <c r="AB20" s="228"/>
    </row>
    <row r="21" spans="1:28" ht="18" customHeight="1" x14ac:dyDescent="0.3">
      <c r="A21" s="207"/>
      <c r="B21" s="91">
        <v>8</v>
      </c>
      <c r="C21" s="14">
        <f>C19</f>
        <v>630</v>
      </c>
      <c r="D21" s="14">
        <f t="shared" si="15"/>
        <v>0.13</v>
      </c>
      <c r="E21" s="14">
        <f t="shared" si="0"/>
        <v>0.1</v>
      </c>
      <c r="F21" s="14">
        <f t="shared" si="1"/>
        <v>2.5532300000000001</v>
      </c>
      <c r="G21" s="14">
        <f t="shared" si="2"/>
        <v>-0.61512</v>
      </c>
      <c r="H21" s="14">
        <f t="shared" si="3"/>
        <v>-0.16403000000000001</v>
      </c>
      <c r="I21" s="2">
        <f t="shared" si="16"/>
        <v>2.9694818054384466</v>
      </c>
      <c r="J21" s="14">
        <f t="shared" si="4"/>
        <v>0.3</v>
      </c>
      <c r="K21" s="14">
        <f t="shared" si="5"/>
        <v>2.4653200000000002</v>
      </c>
      <c r="L21" s="14">
        <f t="shared" si="6"/>
        <v>-0.62256999999999996</v>
      </c>
      <c r="M21" s="14">
        <f t="shared" si="7"/>
        <v>-0.11656999999999999</v>
      </c>
      <c r="N21" s="2">
        <f t="shared" si="17"/>
        <v>2.9254336017972031</v>
      </c>
      <c r="O21" s="14">
        <f t="shared" si="8"/>
        <v>1.3844514472646661</v>
      </c>
      <c r="P21" s="29">
        <f>O21*A19*$P$6</f>
        <v>6.5899888889798106</v>
      </c>
      <c r="Q21" s="227" t="str">
        <f t="shared" si="9"/>
        <v>2.4%</v>
      </c>
      <c r="R21" s="228"/>
      <c r="S21" s="227" t="str">
        <f t="shared" si="10"/>
        <v>3.5%</v>
      </c>
      <c r="T21" s="228"/>
      <c r="U21" s="227" t="str">
        <f t="shared" si="11"/>
        <v>4.4%</v>
      </c>
      <c r="V21" s="228"/>
      <c r="W21" s="227" t="str">
        <f t="shared" si="12"/>
        <v>1.2%</v>
      </c>
      <c r="X21" s="228"/>
      <c r="Y21" s="227" t="str">
        <f t="shared" si="13"/>
        <v>1.7%</v>
      </c>
      <c r="Z21" s="228"/>
      <c r="AA21" s="227" t="str">
        <f t="shared" si="14"/>
        <v>2.1%</v>
      </c>
      <c r="AB21" s="228"/>
    </row>
    <row r="22" spans="1:28" ht="18" customHeight="1" thickBot="1" x14ac:dyDescent="0.35">
      <c r="A22" s="208"/>
      <c r="B22" s="92">
        <v>10</v>
      </c>
      <c r="C22" s="33">
        <f>C19</f>
        <v>630</v>
      </c>
      <c r="D22" s="33">
        <f t="shared" si="15"/>
        <v>0.12</v>
      </c>
      <c r="E22" s="33">
        <f t="shared" si="0"/>
        <v>0.1</v>
      </c>
      <c r="F22" s="33">
        <f t="shared" si="1"/>
        <v>2.5532300000000001</v>
      </c>
      <c r="G22" s="33">
        <f t="shared" si="2"/>
        <v>-0.61512</v>
      </c>
      <c r="H22" s="33">
        <f t="shared" si="3"/>
        <v>-0.16403000000000001</v>
      </c>
      <c r="I22" s="6">
        <f t="shared" si="16"/>
        <v>2.9805618175844697</v>
      </c>
      <c r="J22" s="33">
        <f t="shared" si="4"/>
        <v>0.3</v>
      </c>
      <c r="K22" s="33">
        <f t="shared" si="5"/>
        <v>2.4653200000000002</v>
      </c>
      <c r="L22" s="33">
        <f t="shared" si="6"/>
        <v>-0.62256999999999996</v>
      </c>
      <c r="M22" s="33">
        <f t="shared" si="7"/>
        <v>-0.11656999999999999</v>
      </c>
      <c r="N22" s="6">
        <f t="shared" si="17"/>
        <v>2.9397535919517539</v>
      </c>
      <c r="O22" s="33">
        <f t="shared" si="8"/>
        <v>1.4255344949318072</v>
      </c>
      <c r="P22" s="34">
        <f>O22*A19*$P$6</f>
        <v>6.7855441958754019</v>
      </c>
      <c r="Q22" s="198" t="str">
        <f t="shared" si="9"/>
        <v>2.4%</v>
      </c>
      <c r="R22" s="199"/>
      <c r="S22" s="198" t="str">
        <f t="shared" si="10"/>
        <v>3.5%</v>
      </c>
      <c r="T22" s="199"/>
      <c r="U22" s="198" t="str">
        <f t="shared" si="11"/>
        <v>4.4%</v>
      </c>
      <c r="V22" s="199"/>
      <c r="W22" s="198" t="str">
        <f t="shared" si="12"/>
        <v>1.2%</v>
      </c>
      <c r="X22" s="199"/>
      <c r="Y22" s="198" t="str">
        <f t="shared" si="13"/>
        <v>1.7%</v>
      </c>
      <c r="Z22" s="199"/>
      <c r="AA22" s="198" t="str">
        <f t="shared" si="14"/>
        <v>2.1%</v>
      </c>
      <c r="AB22" s="199"/>
    </row>
    <row r="23" spans="1:28" ht="18" customHeight="1" x14ac:dyDescent="0.3">
      <c r="A23" s="206">
        <v>8</v>
      </c>
      <c r="B23" s="90">
        <v>4</v>
      </c>
      <c r="C23" s="35">
        <f>ROUND(1.5*SQRT(A23*43560)/10,0)*10</f>
        <v>890</v>
      </c>
      <c r="D23" s="35">
        <f t="shared" si="15"/>
        <v>0.24000000000000002</v>
      </c>
      <c r="E23" s="35">
        <f t="shared" si="0"/>
        <v>0.1</v>
      </c>
      <c r="F23" s="35">
        <f t="shared" si="1"/>
        <v>2.5532300000000001</v>
      </c>
      <c r="G23" s="35">
        <f t="shared" si="2"/>
        <v>-0.61512</v>
      </c>
      <c r="H23" s="35">
        <f t="shared" si="3"/>
        <v>-0.16403000000000001</v>
      </c>
      <c r="I23" s="36">
        <f t="shared" si="16"/>
        <v>2.8714642876515004</v>
      </c>
      <c r="J23" s="35">
        <f t="shared" si="4"/>
        <v>0.3</v>
      </c>
      <c r="K23" s="35">
        <f t="shared" si="5"/>
        <v>2.4653200000000002</v>
      </c>
      <c r="L23" s="35">
        <f t="shared" si="6"/>
        <v>-0.62256999999999996</v>
      </c>
      <c r="M23" s="35">
        <f t="shared" si="7"/>
        <v>-0.11656999999999999</v>
      </c>
      <c r="N23" s="36">
        <f t="shared" si="17"/>
        <v>2.8064029083593347</v>
      </c>
      <c r="O23" s="35">
        <f t="shared" si="8"/>
        <v>1.0783348075548471</v>
      </c>
      <c r="P23" s="37">
        <f>O23*A23*$P$6</f>
        <v>10.265747367922144</v>
      </c>
      <c r="Q23" s="196" t="str">
        <f t="shared" si="9"/>
        <v>1.5%</v>
      </c>
      <c r="R23" s="197"/>
      <c r="S23" s="196" t="str">
        <f t="shared" si="10"/>
        <v>2.2%</v>
      </c>
      <c r="T23" s="197"/>
      <c r="U23" s="196" t="str">
        <f t="shared" si="11"/>
        <v>2.8%</v>
      </c>
      <c r="V23" s="197"/>
      <c r="W23" s="196" t="str">
        <f t="shared" si="12"/>
        <v>0.7%</v>
      </c>
      <c r="X23" s="197"/>
      <c r="Y23" s="196" t="str">
        <f t="shared" si="13"/>
        <v>1%</v>
      </c>
      <c r="Z23" s="197"/>
      <c r="AA23" s="196" t="str">
        <f t="shared" si="14"/>
        <v>1.3%</v>
      </c>
      <c r="AB23" s="197"/>
    </row>
    <row r="24" spans="1:28" ht="18" customHeight="1" x14ac:dyDescent="0.3">
      <c r="A24" s="207"/>
      <c r="B24" s="91">
        <v>6</v>
      </c>
      <c r="C24" s="14">
        <f>C23</f>
        <v>890</v>
      </c>
      <c r="D24" s="14">
        <f t="shared" si="15"/>
        <v>0.2</v>
      </c>
      <c r="E24" s="14">
        <f t="shared" si="0"/>
        <v>0.1</v>
      </c>
      <c r="F24" s="14">
        <f t="shared" si="1"/>
        <v>2.5532300000000001</v>
      </c>
      <c r="G24" s="14">
        <f t="shared" si="2"/>
        <v>-0.61512</v>
      </c>
      <c r="H24" s="14">
        <f t="shared" si="3"/>
        <v>-0.16403000000000001</v>
      </c>
      <c r="I24" s="2">
        <f t="shared" si="16"/>
        <v>2.9030420853134782</v>
      </c>
      <c r="J24" s="14">
        <f t="shared" si="4"/>
        <v>0.3</v>
      </c>
      <c r="K24" s="14">
        <f t="shared" si="5"/>
        <v>2.4653200000000002</v>
      </c>
      <c r="L24" s="14">
        <f t="shared" si="6"/>
        <v>-0.62256999999999996</v>
      </c>
      <c r="M24" s="14">
        <f t="shared" si="7"/>
        <v>-0.11656999999999999</v>
      </c>
      <c r="N24" s="2">
        <f t="shared" si="17"/>
        <v>2.8435264251637742</v>
      </c>
      <c r="O24" s="14">
        <f t="shared" si="8"/>
        <v>1.1670898208982183</v>
      </c>
      <c r="P24" s="29">
        <f>O24*A23*$P$6</f>
        <v>11.110695094951039</v>
      </c>
      <c r="Q24" s="227" t="str">
        <f t="shared" si="9"/>
        <v>1.4%</v>
      </c>
      <c r="R24" s="228"/>
      <c r="S24" s="227" t="str">
        <f t="shared" si="10"/>
        <v>2%</v>
      </c>
      <c r="T24" s="228"/>
      <c r="U24" s="227" t="str">
        <f t="shared" si="11"/>
        <v>2.6%</v>
      </c>
      <c r="V24" s="228"/>
      <c r="W24" s="227" t="str">
        <f t="shared" si="12"/>
        <v>0.7%</v>
      </c>
      <c r="X24" s="228"/>
      <c r="Y24" s="227" t="str">
        <f t="shared" si="13"/>
        <v>1%</v>
      </c>
      <c r="Z24" s="228"/>
      <c r="AA24" s="227" t="str">
        <f t="shared" si="14"/>
        <v>1.2%</v>
      </c>
      <c r="AB24" s="228"/>
    </row>
    <row r="25" spans="1:28" ht="18" customHeight="1" x14ac:dyDescent="0.3">
      <c r="A25" s="207"/>
      <c r="B25" s="91">
        <v>8</v>
      </c>
      <c r="C25" s="14">
        <f>C23</f>
        <v>890</v>
      </c>
      <c r="D25" s="14">
        <f t="shared" si="15"/>
        <v>0.17</v>
      </c>
      <c r="E25" s="14">
        <f t="shared" si="0"/>
        <v>0.1</v>
      </c>
      <c r="F25" s="14">
        <f t="shared" si="1"/>
        <v>2.5532300000000001</v>
      </c>
      <c r="G25" s="14">
        <f t="shared" si="2"/>
        <v>-0.61512</v>
      </c>
      <c r="H25" s="14">
        <f t="shared" si="3"/>
        <v>-0.16403000000000001</v>
      </c>
      <c r="I25" s="2">
        <f t="shared" si="16"/>
        <v>2.9294562397482284</v>
      </c>
      <c r="J25" s="14">
        <f t="shared" si="4"/>
        <v>0.3</v>
      </c>
      <c r="K25" s="14">
        <f t="shared" si="5"/>
        <v>2.4653200000000002</v>
      </c>
      <c r="L25" s="14">
        <f t="shared" si="6"/>
        <v>-0.62256999999999996</v>
      </c>
      <c r="M25" s="14">
        <f t="shared" si="7"/>
        <v>-0.11656999999999999</v>
      </c>
      <c r="N25" s="2">
        <f t="shared" si="17"/>
        <v>2.8753856279033299</v>
      </c>
      <c r="O25" s="14">
        <f t="shared" si="8"/>
        <v>1.2480757927425445</v>
      </c>
      <c r="P25" s="29">
        <f>O25*A23*$P$6</f>
        <v>11.881681546909023</v>
      </c>
      <c r="Q25" s="227" t="str">
        <f t="shared" si="9"/>
        <v>1.4%</v>
      </c>
      <c r="R25" s="228"/>
      <c r="S25" s="227" t="str">
        <f t="shared" si="10"/>
        <v>2%</v>
      </c>
      <c r="T25" s="228"/>
      <c r="U25" s="227" t="str">
        <f t="shared" si="11"/>
        <v>2.6%</v>
      </c>
      <c r="V25" s="228"/>
      <c r="W25" s="227" t="str">
        <f t="shared" si="12"/>
        <v>0.7%</v>
      </c>
      <c r="X25" s="228"/>
      <c r="Y25" s="227" t="str">
        <f t="shared" si="13"/>
        <v>1%</v>
      </c>
      <c r="Z25" s="228"/>
      <c r="AA25" s="227" t="str">
        <f t="shared" si="14"/>
        <v>1.2%</v>
      </c>
      <c r="AB25" s="228"/>
    </row>
    <row r="26" spans="1:28" ht="18" customHeight="1" thickBot="1" x14ac:dyDescent="0.35">
      <c r="A26" s="208"/>
      <c r="B26" s="92">
        <v>10</v>
      </c>
      <c r="C26" s="33">
        <f>C23</f>
        <v>890</v>
      </c>
      <c r="D26" s="33">
        <f t="shared" si="15"/>
        <v>0.15000000000000002</v>
      </c>
      <c r="E26" s="33">
        <f t="shared" si="0"/>
        <v>0.1</v>
      </c>
      <c r="F26" s="33">
        <f t="shared" si="1"/>
        <v>2.5532300000000001</v>
      </c>
      <c r="G26" s="33">
        <f t="shared" si="2"/>
        <v>-0.61512</v>
      </c>
      <c r="H26" s="33">
        <f t="shared" si="3"/>
        <v>-0.16403000000000001</v>
      </c>
      <c r="I26" s="6">
        <f t="shared" si="16"/>
        <v>2.9486849793629371</v>
      </c>
      <c r="J26" s="33">
        <f t="shared" si="4"/>
        <v>0.3</v>
      </c>
      <c r="K26" s="33">
        <f t="shared" si="5"/>
        <v>2.4653200000000002</v>
      </c>
      <c r="L26" s="33">
        <f t="shared" si="6"/>
        <v>-0.62256999999999996</v>
      </c>
      <c r="M26" s="33">
        <f t="shared" si="7"/>
        <v>-0.11656999999999999</v>
      </c>
      <c r="N26" s="6">
        <f t="shared" si="17"/>
        <v>2.8991301630951476</v>
      </c>
      <c r="O26" s="33">
        <f t="shared" si="8"/>
        <v>1.311377105258446</v>
      </c>
      <c r="P26" s="34">
        <f>O26*A23*$P$6</f>
        <v>12.484310042060406</v>
      </c>
      <c r="Q26" s="198" t="str">
        <f t="shared" si="9"/>
        <v>1.3%</v>
      </c>
      <c r="R26" s="199"/>
      <c r="S26" s="198" t="str">
        <f t="shared" si="10"/>
        <v>1.9%</v>
      </c>
      <c r="T26" s="199"/>
      <c r="U26" s="198" t="str">
        <f t="shared" si="11"/>
        <v>2.4%</v>
      </c>
      <c r="V26" s="199"/>
      <c r="W26" s="198" t="str">
        <f t="shared" si="12"/>
        <v>0.6%</v>
      </c>
      <c r="X26" s="199"/>
      <c r="Y26" s="198" t="str">
        <f t="shared" si="13"/>
        <v>0.9%</v>
      </c>
      <c r="Z26" s="199"/>
      <c r="AA26" s="198" t="str">
        <f t="shared" si="14"/>
        <v>1.2%</v>
      </c>
      <c r="AB26" s="199"/>
    </row>
    <row r="27" spans="1:28" ht="18" customHeight="1" x14ac:dyDescent="0.3">
      <c r="A27" s="206">
        <v>9</v>
      </c>
      <c r="B27" s="90">
        <v>4</v>
      </c>
      <c r="C27" s="35">
        <f>ROUND(1.5*SQRT(A27*43560)/10,0)*10</f>
        <v>940</v>
      </c>
      <c r="D27" s="35">
        <f t="shared" si="15"/>
        <v>0.25</v>
      </c>
      <c r="E27" s="35">
        <f t="shared" si="0"/>
        <v>0.1</v>
      </c>
      <c r="F27" s="35">
        <f t="shared" si="1"/>
        <v>2.5532300000000001</v>
      </c>
      <c r="G27" s="35">
        <f t="shared" si="2"/>
        <v>-0.61512</v>
      </c>
      <c r="H27" s="35">
        <f t="shared" si="3"/>
        <v>-0.16403000000000001</v>
      </c>
      <c r="I27" s="36">
        <f t="shared" si="16"/>
        <v>2.8641121653407779</v>
      </c>
      <c r="J27" s="35">
        <f t="shared" si="4"/>
        <v>0.3</v>
      </c>
      <c r="K27" s="35">
        <f t="shared" si="5"/>
        <v>2.4653200000000002</v>
      </c>
      <c r="L27" s="35">
        <f t="shared" si="6"/>
        <v>-0.62256999999999996</v>
      </c>
      <c r="M27" s="35">
        <f t="shared" si="7"/>
        <v>-0.11656999999999999</v>
      </c>
      <c r="N27" s="36">
        <f t="shared" si="17"/>
        <v>2.7978906343018419</v>
      </c>
      <c r="O27" s="35">
        <f t="shared" si="8"/>
        <v>1.0588182684273559</v>
      </c>
      <c r="P27" s="37">
        <f>O27*A27*$P$6</f>
        <v>11.339943654856981</v>
      </c>
      <c r="Q27" s="196" t="str">
        <f t="shared" si="9"/>
        <v>1.4%</v>
      </c>
      <c r="R27" s="197"/>
      <c r="S27" s="196" t="str">
        <f t="shared" si="10"/>
        <v>2%</v>
      </c>
      <c r="T27" s="197"/>
      <c r="U27" s="196" t="str">
        <f t="shared" si="11"/>
        <v>2.6%</v>
      </c>
      <c r="V27" s="197"/>
      <c r="W27" s="196" t="str">
        <f t="shared" si="12"/>
        <v>0.7%</v>
      </c>
      <c r="X27" s="197"/>
      <c r="Y27" s="196" t="str">
        <f t="shared" si="13"/>
        <v>1%</v>
      </c>
      <c r="Z27" s="197"/>
      <c r="AA27" s="196" t="str">
        <f t="shared" si="14"/>
        <v>1.2%</v>
      </c>
      <c r="AB27" s="197"/>
    </row>
    <row r="28" spans="1:28" ht="18" customHeight="1" x14ac:dyDescent="0.3">
      <c r="A28" s="207"/>
      <c r="B28" s="91">
        <v>6</v>
      </c>
      <c r="C28" s="14">
        <f>C27</f>
        <v>940</v>
      </c>
      <c r="D28" s="14">
        <f t="shared" si="15"/>
        <v>0.2</v>
      </c>
      <c r="E28" s="14">
        <f t="shared" si="0"/>
        <v>0.1</v>
      </c>
      <c r="F28" s="14">
        <f t="shared" si="1"/>
        <v>2.5532300000000001</v>
      </c>
      <c r="G28" s="14">
        <f t="shared" si="2"/>
        <v>-0.61512</v>
      </c>
      <c r="H28" s="14">
        <f t="shared" si="3"/>
        <v>-0.16403000000000001</v>
      </c>
      <c r="I28" s="2">
        <f t="shared" si="16"/>
        <v>2.9030420853134782</v>
      </c>
      <c r="J28" s="14">
        <f t="shared" si="4"/>
        <v>0.3</v>
      </c>
      <c r="K28" s="14">
        <f t="shared" si="5"/>
        <v>2.4653200000000002</v>
      </c>
      <c r="L28" s="14">
        <f t="shared" si="6"/>
        <v>-0.62256999999999996</v>
      </c>
      <c r="M28" s="14">
        <f t="shared" si="7"/>
        <v>-0.11656999999999999</v>
      </c>
      <c r="N28" s="2">
        <f t="shared" si="17"/>
        <v>2.8435264251637742</v>
      </c>
      <c r="O28" s="14">
        <f t="shared" si="8"/>
        <v>1.1670898208982183</v>
      </c>
      <c r="P28" s="29">
        <f>O28*A27*$P$6</f>
        <v>12.499531981819917</v>
      </c>
      <c r="Q28" s="227" t="str">
        <f t="shared" si="9"/>
        <v>1.3%</v>
      </c>
      <c r="R28" s="228"/>
      <c r="S28" s="227" t="str">
        <f t="shared" si="10"/>
        <v>1.9%</v>
      </c>
      <c r="T28" s="228"/>
      <c r="U28" s="227" t="str">
        <f t="shared" si="11"/>
        <v>2.4%</v>
      </c>
      <c r="V28" s="228"/>
      <c r="W28" s="227" t="str">
        <f t="shared" si="12"/>
        <v>0.6%</v>
      </c>
      <c r="X28" s="228"/>
      <c r="Y28" s="227" t="str">
        <f t="shared" si="13"/>
        <v>0.9%</v>
      </c>
      <c r="Z28" s="228"/>
      <c r="AA28" s="227" t="str">
        <f t="shared" si="14"/>
        <v>1.2%</v>
      </c>
      <c r="AB28" s="228"/>
    </row>
    <row r="29" spans="1:28" ht="18" customHeight="1" x14ac:dyDescent="0.3">
      <c r="A29" s="207"/>
      <c r="B29" s="91">
        <v>8</v>
      </c>
      <c r="C29" s="14">
        <f>C27</f>
        <v>940</v>
      </c>
      <c r="D29" s="14">
        <f t="shared" si="15"/>
        <v>0.18000000000000002</v>
      </c>
      <c r="E29" s="14">
        <f t="shared" si="0"/>
        <v>0.1</v>
      </c>
      <c r="F29" s="14">
        <f t="shared" si="1"/>
        <v>2.5532300000000001</v>
      </c>
      <c r="G29" s="14">
        <f t="shared" si="2"/>
        <v>-0.61512</v>
      </c>
      <c r="H29" s="14">
        <f t="shared" si="3"/>
        <v>-0.16403000000000001</v>
      </c>
      <c r="I29" s="2">
        <f t="shared" si="16"/>
        <v>2.9203526152581674</v>
      </c>
      <c r="J29" s="14">
        <f t="shared" si="4"/>
        <v>0.3</v>
      </c>
      <c r="K29" s="14">
        <f t="shared" si="5"/>
        <v>2.4653200000000002</v>
      </c>
      <c r="L29" s="14">
        <f t="shared" si="6"/>
        <v>-0.62256999999999996</v>
      </c>
      <c r="M29" s="14">
        <f t="shared" si="7"/>
        <v>-0.11656999999999999</v>
      </c>
      <c r="N29" s="2">
        <f t="shared" si="17"/>
        <v>2.8643130548120994</v>
      </c>
      <c r="O29" s="14">
        <f t="shared" si="8"/>
        <v>1.219418729010626</v>
      </c>
      <c r="P29" s="29">
        <f>O29*A27*$P$6</f>
        <v>13.059974587703802</v>
      </c>
      <c r="Q29" s="227" t="str">
        <f t="shared" si="9"/>
        <v>1.2%</v>
      </c>
      <c r="R29" s="228"/>
      <c r="S29" s="227" t="str">
        <f t="shared" si="10"/>
        <v>1.8%</v>
      </c>
      <c r="T29" s="228"/>
      <c r="U29" s="227" t="str">
        <f t="shared" si="11"/>
        <v>2.2%</v>
      </c>
      <c r="V29" s="228"/>
      <c r="W29" s="227" t="str">
        <f t="shared" si="12"/>
        <v>0.6%</v>
      </c>
      <c r="X29" s="228"/>
      <c r="Y29" s="227" t="str">
        <f t="shared" si="13"/>
        <v>0.8%</v>
      </c>
      <c r="Z29" s="228"/>
      <c r="AA29" s="227" t="str">
        <f t="shared" si="14"/>
        <v>1.1%</v>
      </c>
      <c r="AB29" s="228"/>
    </row>
    <row r="30" spans="1:28" ht="18" customHeight="1" thickBot="1" x14ac:dyDescent="0.35">
      <c r="A30" s="208"/>
      <c r="B30" s="92">
        <v>10</v>
      </c>
      <c r="C30" s="33">
        <f>C27</f>
        <v>940</v>
      </c>
      <c r="D30" s="33">
        <f t="shared" si="15"/>
        <v>0.16</v>
      </c>
      <c r="E30" s="33">
        <f t="shared" si="0"/>
        <v>0.1</v>
      </c>
      <c r="F30" s="33">
        <f t="shared" si="1"/>
        <v>2.5532300000000001</v>
      </c>
      <c r="G30" s="33">
        <f t="shared" si="2"/>
        <v>-0.61512</v>
      </c>
      <c r="H30" s="33">
        <f t="shared" si="3"/>
        <v>-0.16403000000000001</v>
      </c>
      <c r="I30" s="6">
        <f t="shared" si="16"/>
        <v>2.9388910131893802</v>
      </c>
      <c r="J30" s="33">
        <f t="shared" si="4"/>
        <v>0.3</v>
      </c>
      <c r="K30" s="33">
        <f t="shared" si="5"/>
        <v>2.4653200000000002</v>
      </c>
      <c r="L30" s="33">
        <f t="shared" si="6"/>
        <v>-0.62256999999999996</v>
      </c>
      <c r="M30" s="33">
        <f t="shared" si="7"/>
        <v>-0.11656999999999999</v>
      </c>
      <c r="N30" s="6">
        <f t="shared" si="17"/>
        <v>2.8869726699138742</v>
      </c>
      <c r="O30" s="33">
        <f t="shared" si="8"/>
        <v>1.2786505434947275</v>
      </c>
      <c r="P30" s="34">
        <f>O30*A27*$P$6</f>
        <v>13.69434732082853</v>
      </c>
      <c r="Q30" s="198" t="str">
        <f t="shared" si="9"/>
        <v>1.2%</v>
      </c>
      <c r="R30" s="199"/>
      <c r="S30" s="198" t="str">
        <f t="shared" si="10"/>
        <v>1.8%</v>
      </c>
      <c r="T30" s="199"/>
      <c r="U30" s="198" t="str">
        <f t="shared" si="11"/>
        <v>2.2%</v>
      </c>
      <c r="V30" s="199"/>
      <c r="W30" s="198" t="str">
        <f t="shared" si="12"/>
        <v>0.6%</v>
      </c>
      <c r="X30" s="199"/>
      <c r="Y30" s="198" t="str">
        <f t="shared" si="13"/>
        <v>0.8%</v>
      </c>
      <c r="Z30" s="199"/>
      <c r="AA30" s="198" t="str">
        <f t="shared" si="14"/>
        <v>1.1%</v>
      </c>
      <c r="AB30" s="199"/>
    </row>
    <row r="31" spans="1:28" ht="18" customHeight="1" x14ac:dyDescent="0.3">
      <c r="A31" s="207">
        <v>10</v>
      </c>
      <c r="B31" s="93">
        <v>4</v>
      </c>
      <c r="C31" s="14">
        <f>ROUND(1.5*SQRT(A31*43560)/10,0)*10</f>
        <v>990</v>
      </c>
      <c r="D31" s="14">
        <f t="shared" si="15"/>
        <v>0.26</v>
      </c>
      <c r="E31" s="14">
        <f t="shared" si="0"/>
        <v>0.1</v>
      </c>
      <c r="F31" s="14">
        <f t="shared" si="1"/>
        <v>2.5532300000000001</v>
      </c>
      <c r="G31" s="14">
        <f t="shared" si="2"/>
        <v>-0.61512</v>
      </c>
      <c r="H31" s="14">
        <f t="shared" si="3"/>
        <v>-0.16403000000000001</v>
      </c>
      <c r="I31" s="31">
        <f t="shared" si="16"/>
        <v>2.8569513124028294</v>
      </c>
      <c r="J31" s="14">
        <f t="shared" si="4"/>
        <v>0.3</v>
      </c>
      <c r="K31" s="14">
        <f t="shared" si="5"/>
        <v>2.4653200000000002</v>
      </c>
      <c r="L31" s="14">
        <f t="shared" si="6"/>
        <v>-0.62256999999999996</v>
      </c>
      <c r="M31" s="14">
        <f t="shared" si="7"/>
        <v>-0.11656999999999999</v>
      </c>
      <c r="N31" s="31">
        <f t="shared" si="17"/>
        <v>2.7896432394333663</v>
      </c>
      <c r="O31" s="14">
        <f t="shared" si="8"/>
        <v>1.0402010837944702</v>
      </c>
      <c r="P31" s="32">
        <f>O31*A31*$P$6</f>
        <v>12.378392897154194</v>
      </c>
      <c r="Q31" s="196" t="str">
        <f t="shared" si="9"/>
        <v>1.3%</v>
      </c>
      <c r="R31" s="197"/>
      <c r="S31" s="196" t="str">
        <f t="shared" si="10"/>
        <v>1.9%</v>
      </c>
      <c r="T31" s="197"/>
      <c r="U31" s="196" t="str">
        <f t="shared" si="11"/>
        <v>2.4%</v>
      </c>
      <c r="V31" s="197"/>
      <c r="W31" s="196" t="str">
        <f t="shared" si="12"/>
        <v>0.6%</v>
      </c>
      <c r="X31" s="197"/>
      <c r="Y31" s="196" t="str">
        <f t="shared" si="13"/>
        <v>0.9%</v>
      </c>
      <c r="Z31" s="197"/>
      <c r="AA31" s="196" t="str">
        <f t="shared" si="14"/>
        <v>1.2%</v>
      </c>
      <c r="AB31" s="197"/>
    </row>
    <row r="32" spans="1:28" ht="18" customHeight="1" x14ac:dyDescent="0.3">
      <c r="A32" s="207"/>
      <c r="B32" s="91">
        <v>6</v>
      </c>
      <c r="C32" s="14">
        <f>C31</f>
        <v>990</v>
      </c>
      <c r="D32" s="14">
        <f t="shared" si="15"/>
        <v>0.21000000000000002</v>
      </c>
      <c r="E32" s="14">
        <f t="shared" si="0"/>
        <v>0.1</v>
      </c>
      <c r="F32" s="14">
        <f t="shared" si="1"/>
        <v>2.5532300000000001</v>
      </c>
      <c r="G32" s="14">
        <f t="shared" si="2"/>
        <v>-0.61512</v>
      </c>
      <c r="H32" s="14">
        <f t="shared" si="3"/>
        <v>-0.16403000000000001</v>
      </c>
      <c r="I32" s="2">
        <f t="shared" si="16"/>
        <v>2.8947932695760574</v>
      </c>
      <c r="J32" s="14">
        <f t="shared" si="4"/>
        <v>0.3</v>
      </c>
      <c r="K32" s="14">
        <f t="shared" si="5"/>
        <v>2.4653200000000002</v>
      </c>
      <c r="L32" s="14">
        <f t="shared" si="6"/>
        <v>-0.62256999999999996</v>
      </c>
      <c r="M32" s="14">
        <f t="shared" si="7"/>
        <v>-0.11656999999999999</v>
      </c>
      <c r="N32" s="2">
        <f t="shared" si="17"/>
        <v>2.8337352278733841</v>
      </c>
      <c r="O32" s="14">
        <f t="shared" si="8"/>
        <v>1.1431001315776979</v>
      </c>
      <c r="P32" s="29">
        <f>O32*A31*$P$6</f>
        <v>13.602891565774604</v>
      </c>
      <c r="Q32" s="227" t="str">
        <f t="shared" si="9"/>
        <v>1.2%</v>
      </c>
      <c r="R32" s="228"/>
      <c r="S32" s="227" t="str">
        <f t="shared" si="10"/>
        <v>1.8%</v>
      </c>
      <c r="T32" s="228"/>
      <c r="U32" s="227" t="str">
        <f t="shared" si="11"/>
        <v>2.2%</v>
      </c>
      <c r="V32" s="228"/>
      <c r="W32" s="227" t="str">
        <f t="shared" si="12"/>
        <v>0.6%</v>
      </c>
      <c r="X32" s="228"/>
      <c r="Y32" s="227" t="str">
        <f t="shared" si="13"/>
        <v>0.8%</v>
      </c>
      <c r="Z32" s="228"/>
      <c r="AA32" s="227" t="str">
        <f t="shared" si="14"/>
        <v>1.1%</v>
      </c>
      <c r="AB32" s="228"/>
    </row>
    <row r="33" spans="1:28" ht="18" customHeight="1" x14ac:dyDescent="0.3">
      <c r="A33" s="207"/>
      <c r="B33" s="91">
        <v>8</v>
      </c>
      <c r="C33" s="14">
        <f>C31</f>
        <v>990</v>
      </c>
      <c r="D33" s="14">
        <f t="shared" si="15"/>
        <v>0.18000000000000002</v>
      </c>
      <c r="E33" s="14">
        <f t="shared" si="0"/>
        <v>0.1</v>
      </c>
      <c r="F33" s="14">
        <f t="shared" si="1"/>
        <v>2.5532300000000001</v>
      </c>
      <c r="G33" s="14">
        <f t="shared" si="2"/>
        <v>-0.61512</v>
      </c>
      <c r="H33" s="14">
        <f t="shared" si="3"/>
        <v>-0.16403000000000001</v>
      </c>
      <c r="I33" s="2">
        <f t="shared" si="16"/>
        <v>2.9203526152581674</v>
      </c>
      <c r="J33" s="14">
        <f t="shared" si="4"/>
        <v>0.3</v>
      </c>
      <c r="K33" s="14">
        <f t="shared" si="5"/>
        <v>2.4653200000000002</v>
      </c>
      <c r="L33" s="14">
        <f t="shared" si="6"/>
        <v>-0.62256999999999996</v>
      </c>
      <c r="M33" s="14">
        <f t="shared" si="7"/>
        <v>-0.11656999999999999</v>
      </c>
      <c r="N33" s="2">
        <f t="shared" si="17"/>
        <v>2.8643130548120994</v>
      </c>
      <c r="O33" s="14">
        <f t="shared" si="8"/>
        <v>1.219418729010626</v>
      </c>
      <c r="P33" s="29">
        <f>O33*A31*$P$6</f>
        <v>14.51108287522645</v>
      </c>
      <c r="Q33" s="227" t="str">
        <f t="shared" si="9"/>
        <v>1.1%</v>
      </c>
      <c r="R33" s="228"/>
      <c r="S33" s="227" t="str">
        <f t="shared" si="10"/>
        <v>1.6%</v>
      </c>
      <c r="T33" s="228"/>
      <c r="U33" s="227" t="str">
        <f t="shared" si="11"/>
        <v>2.1%</v>
      </c>
      <c r="V33" s="228"/>
      <c r="W33" s="227" t="str">
        <f t="shared" si="12"/>
        <v>0.5%</v>
      </c>
      <c r="X33" s="228"/>
      <c r="Y33" s="227" t="str">
        <f t="shared" si="13"/>
        <v>0.8%</v>
      </c>
      <c r="Z33" s="228"/>
      <c r="AA33" s="227" t="str">
        <f t="shared" si="14"/>
        <v>1%</v>
      </c>
      <c r="AB33" s="228"/>
    </row>
    <row r="34" spans="1:28" ht="18" customHeight="1" x14ac:dyDescent="0.3">
      <c r="A34" s="209"/>
      <c r="B34" s="91">
        <v>10</v>
      </c>
      <c r="C34" s="14">
        <f>C31</f>
        <v>990</v>
      </c>
      <c r="D34" s="14">
        <f t="shared" si="15"/>
        <v>0.17</v>
      </c>
      <c r="E34" s="14">
        <f t="shared" si="0"/>
        <v>0.1</v>
      </c>
      <c r="F34" s="14">
        <f t="shared" si="1"/>
        <v>2.5532300000000001</v>
      </c>
      <c r="G34" s="14">
        <f t="shared" si="2"/>
        <v>-0.61512</v>
      </c>
      <c r="H34" s="14">
        <f t="shared" si="3"/>
        <v>-0.16403000000000001</v>
      </c>
      <c r="I34" s="2">
        <f t="shared" si="16"/>
        <v>2.9294562397482284</v>
      </c>
      <c r="J34" s="14">
        <f t="shared" si="4"/>
        <v>0.3</v>
      </c>
      <c r="K34" s="14">
        <f t="shared" si="5"/>
        <v>2.4653200000000002</v>
      </c>
      <c r="L34" s="14">
        <f t="shared" si="6"/>
        <v>-0.62256999999999996</v>
      </c>
      <c r="M34" s="14">
        <f t="shared" si="7"/>
        <v>-0.11656999999999999</v>
      </c>
      <c r="N34" s="2">
        <f t="shared" si="17"/>
        <v>2.8753856279033299</v>
      </c>
      <c r="O34" s="14">
        <f t="shared" si="8"/>
        <v>1.2480757927425445</v>
      </c>
      <c r="P34" s="29">
        <f>O34*A31*$P$6</f>
        <v>14.852101933636279</v>
      </c>
      <c r="Q34" s="227" t="str">
        <f t="shared" si="9"/>
        <v>1.1%</v>
      </c>
      <c r="R34" s="228"/>
      <c r="S34" s="227" t="str">
        <f t="shared" si="10"/>
        <v>1.6%</v>
      </c>
      <c r="T34" s="228"/>
      <c r="U34" s="227" t="str">
        <f t="shared" si="11"/>
        <v>2.1%</v>
      </c>
      <c r="V34" s="228"/>
      <c r="W34" s="227" t="str">
        <f t="shared" si="12"/>
        <v>0.5%</v>
      </c>
      <c r="X34" s="228"/>
      <c r="Y34" s="227" t="str">
        <f t="shared" si="13"/>
        <v>0.8%</v>
      </c>
      <c r="Z34" s="228"/>
      <c r="AA34" s="227" t="str">
        <f t="shared" si="14"/>
        <v>1%</v>
      </c>
      <c r="AB34" s="228"/>
    </row>
    <row r="35" spans="1:28" ht="9.75" customHeight="1" x14ac:dyDescent="0.3"/>
    <row r="36" spans="1:28" x14ac:dyDescent="0.3">
      <c r="A36" s="7" t="s">
        <v>48</v>
      </c>
      <c r="Q36" s="9"/>
      <c r="R36" s="9"/>
    </row>
    <row r="37" spans="1:28" x14ac:dyDescent="0.3">
      <c r="A37" s="7" t="s">
        <v>56</v>
      </c>
      <c r="Q37" s="3"/>
      <c r="R37" s="3"/>
      <c r="S37" s="8"/>
      <c r="T37" s="8"/>
      <c r="U37" s="8"/>
      <c r="V37" s="8"/>
      <c r="W37" s="8"/>
      <c r="X37" s="8"/>
    </row>
    <row r="38" spans="1:28" x14ac:dyDescent="0.3">
      <c r="A38" s="7" t="s">
        <v>49</v>
      </c>
    </row>
    <row r="39" spans="1:28" x14ac:dyDescent="0.3">
      <c r="A39" s="7" t="s">
        <v>30</v>
      </c>
    </row>
    <row r="40" spans="1:28" ht="7.5" customHeight="1" x14ac:dyDescent="0.3"/>
    <row r="41" spans="1:28" ht="16.2" x14ac:dyDescent="0.3">
      <c r="A41" s="7" t="s">
        <v>25</v>
      </c>
    </row>
  </sheetData>
  <sheetProtection algorithmName="SHA-512" hashValue="NeGUBzTC0uLwLfpytzfgDIOdfcgwj8R5g/xHh/h6rm27FsgKqSSCzJEMp/LMYp4jDQyGrju+4pGPujcIoTEhoA==" saltValue="SUesz1KhaSKJAfUYBLxONw==" spinCount="100000" sheet="1" objects="1" scenarios="1" selectLockedCells="1"/>
  <mergeCells count="180">
    <mergeCell ref="AA33:AB33"/>
    <mergeCell ref="Q34:R34"/>
    <mergeCell ref="S34:T34"/>
    <mergeCell ref="U34:V34"/>
    <mergeCell ref="W34:X34"/>
    <mergeCell ref="Y34:Z34"/>
    <mergeCell ref="AA34:AB34"/>
    <mergeCell ref="Q33:R33"/>
    <mergeCell ref="S33:T33"/>
    <mergeCell ref="U33:V33"/>
    <mergeCell ref="W33:X33"/>
    <mergeCell ref="Y33:Z33"/>
    <mergeCell ref="Q32:R32"/>
    <mergeCell ref="S32:T32"/>
    <mergeCell ref="U32:V32"/>
    <mergeCell ref="W32:X32"/>
    <mergeCell ref="Y32:Z32"/>
    <mergeCell ref="AA32:AB32"/>
    <mergeCell ref="W31:X31"/>
    <mergeCell ref="Y31:Z31"/>
    <mergeCell ref="Q30:R30"/>
    <mergeCell ref="S30:T30"/>
    <mergeCell ref="U30:V30"/>
    <mergeCell ref="W30:X30"/>
    <mergeCell ref="Y30:Z30"/>
    <mergeCell ref="AA30:AB30"/>
    <mergeCell ref="Q24:R24"/>
    <mergeCell ref="S24:T24"/>
    <mergeCell ref="U24:V24"/>
    <mergeCell ref="W24:X24"/>
    <mergeCell ref="Y24:Z24"/>
    <mergeCell ref="AA24:AB24"/>
    <mergeCell ref="Q21:R21"/>
    <mergeCell ref="S21:T21"/>
    <mergeCell ref="U21:V21"/>
    <mergeCell ref="W21:X21"/>
    <mergeCell ref="Y21:Z21"/>
    <mergeCell ref="AA23:AB23"/>
    <mergeCell ref="Q23:R23"/>
    <mergeCell ref="S23:T23"/>
    <mergeCell ref="U23:V23"/>
    <mergeCell ref="W23:X23"/>
    <mergeCell ref="Y23:Z23"/>
    <mergeCell ref="S15:T15"/>
    <mergeCell ref="U15:V15"/>
    <mergeCell ref="W15:X15"/>
    <mergeCell ref="Y15:Z15"/>
    <mergeCell ref="AA15:AB15"/>
    <mergeCell ref="AA31:AB31"/>
    <mergeCell ref="Q16:R16"/>
    <mergeCell ref="S16:T16"/>
    <mergeCell ref="U16:V16"/>
    <mergeCell ref="W16:X16"/>
    <mergeCell ref="Y16:Z16"/>
    <mergeCell ref="AA16:AB16"/>
    <mergeCell ref="Q17:R17"/>
    <mergeCell ref="S17:T17"/>
    <mergeCell ref="U17:V17"/>
    <mergeCell ref="W17:X17"/>
    <mergeCell ref="Y17:Z17"/>
    <mergeCell ref="AA17:AB17"/>
    <mergeCell ref="Q20:R20"/>
    <mergeCell ref="S20:T20"/>
    <mergeCell ref="U20:V20"/>
    <mergeCell ref="Q31:R31"/>
    <mergeCell ref="S31:T31"/>
    <mergeCell ref="U31:V31"/>
    <mergeCell ref="Q27:R27"/>
    <mergeCell ref="S27:T27"/>
    <mergeCell ref="U27:V27"/>
    <mergeCell ref="W27:X27"/>
    <mergeCell ref="Y27:Z27"/>
    <mergeCell ref="AA27:AB27"/>
    <mergeCell ref="Q25:R25"/>
    <mergeCell ref="S25:T25"/>
    <mergeCell ref="U25:V25"/>
    <mergeCell ref="W25:X25"/>
    <mergeCell ref="Y25:Z25"/>
    <mergeCell ref="AA25:AB25"/>
    <mergeCell ref="AA26:AB26"/>
    <mergeCell ref="Q26:R26"/>
    <mergeCell ref="S26:T26"/>
    <mergeCell ref="U26:V26"/>
    <mergeCell ref="W26:X26"/>
    <mergeCell ref="Y26:Z26"/>
    <mergeCell ref="Q28:R28"/>
    <mergeCell ref="S28:T28"/>
    <mergeCell ref="U28:V28"/>
    <mergeCell ref="W28:X28"/>
    <mergeCell ref="Y28:Z28"/>
    <mergeCell ref="AA28:AB28"/>
    <mergeCell ref="Q29:R29"/>
    <mergeCell ref="S29:T29"/>
    <mergeCell ref="U29:V29"/>
    <mergeCell ref="W29:X29"/>
    <mergeCell ref="Y29:Z29"/>
    <mergeCell ref="AA29:AB29"/>
    <mergeCell ref="AA18:AB18"/>
    <mergeCell ref="Q22:R22"/>
    <mergeCell ref="S22:T22"/>
    <mergeCell ref="U22:V22"/>
    <mergeCell ref="W22:X22"/>
    <mergeCell ref="Y22:Z22"/>
    <mergeCell ref="AA22:AB22"/>
    <mergeCell ref="Q19:R19"/>
    <mergeCell ref="S19:T19"/>
    <mergeCell ref="U19:V19"/>
    <mergeCell ref="W19:X19"/>
    <mergeCell ref="Y19:Z19"/>
    <mergeCell ref="AA19:AB19"/>
    <mergeCell ref="W20:X20"/>
    <mergeCell ref="Y20:Z20"/>
    <mergeCell ref="AA20:AB20"/>
    <mergeCell ref="Q18:R18"/>
    <mergeCell ref="S18:T18"/>
    <mergeCell ref="U18:V18"/>
    <mergeCell ref="W18:X18"/>
    <mergeCell ref="Y18:Z18"/>
    <mergeCell ref="AA21:AB21"/>
    <mergeCell ref="U10:V10"/>
    <mergeCell ref="W10:X10"/>
    <mergeCell ref="Y10:Z10"/>
    <mergeCell ref="S14:T14"/>
    <mergeCell ref="U14:V14"/>
    <mergeCell ref="W14:X14"/>
    <mergeCell ref="Y14:Z14"/>
    <mergeCell ref="AA14:AB14"/>
    <mergeCell ref="S13:T13"/>
    <mergeCell ref="U13:V13"/>
    <mergeCell ref="W13:X13"/>
    <mergeCell ref="Y13:Z13"/>
    <mergeCell ref="AA13:AB13"/>
    <mergeCell ref="I9:I10"/>
    <mergeCell ref="J9:J10"/>
    <mergeCell ref="K9:K10"/>
    <mergeCell ref="L9:L10"/>
    <mergeCell ref="M9:M10"/>
    <mergeCell ref="N9:N10"/>
    <mergeCell ref="AA10:AB10"/>
    <mergeCell ref="Q11:R11"/>
    <mergeCell ref="Q15:R15"/>
    <mergeCell ref="Q14:R14"/>
    <mergeCell ref="Q12:R12"/>
    <mergeCell ref="Q13:R13"/>
    <mergeCell ref="S11:T11"/>
    <mergeCell ref="U11:V11"/>
    <mergeCell ref="W11:X11"/>
    <mergeCell ref="Y11:Z11"/>
    <mergeCell ref="AA11:AB11"/>
    <mergeCell ref="S12:T12"/>
    <mergeCell ref="U12:V12"/>
    <mergeCell ref="W12:X12"/>
    <mergeCell ref="Y12:Z12"/>
    <mergeCell ref="AA12:AB12"/>
    <mergeCell ref="Q10:R10"/>
    <mergeCell ref="S10:T10"/>
    <mergeCell ref="A31:A34"/>
    <mergeCell ref="A1:AB1"/>
    <mergeCell ref="Q3:R3"/>
    <mergeCell ref="Q6:AB6"/>
    <mergeCell ref="A8:A9"/>
    <mergeCell ref="B8:B9"/>
    <mergeCell ref="P8:P9"/>
    <mergeCell ref="Q8:AB8"/>
    <mergeCell ref="Q9:V9"/>
    <mergeCell ref="W9:AB9"/>
    <mergeCell ref="A11:A14"/>
    <mergeCell ref="A15:A18"/>
    <mergeCell ref="A19:A22"/>
    <mergeCell ref="A23:A26"/>
    <mergeCell ref="A27:A30"/>
    <mergeCell ref="C8:C9"/>
    <mergeCell ref="D8:D9"/>
    <mergeCell ref="E8:I8"/>
    <mergeCell ref="J8:N8"/>
    <mergeCell ref="O8:O9"/>
    <mergeCell ref="E9:E10"/>
    <mergeCell ref="F9:F10"/>
    <mergeCell ref="G9:G10"/>
    <mergeCell ref="H9:H10"/>
  </mergeCells>
  <conditionalFormatting sqref="Q11">
    <cfRule type="cellIs" dxfId="7" priority="8" operator="lessThan">
      <formula>$B11/100</formula>
    </cfRule>
  </conditionalFormatting>
  <conditionalFormatting sqref="Q12:Q13">
    <cfRule type="cellIs" dxfId="6" priority="7" operator="lessThan">
      <formula>$B12/100</formula>
    </cfRule>
  </conditionalFormatting>
  <conditionalFormatting sqref="S11:S13 U11:U13 W11:W13 Y11:Y13 AA11:AA13">
    <cfRule type="cellIs" dxfId="5" priority="6" operator="lessThan">
      <formula>$B11/100</formula>
    </cfRule>
  </conditionalFormatting>
  <conditionalFormatting sqref="Q16:Q17 S16:S17 U16:U17 W16:W17 Y16:Y17 AA16:AA17">
    <cfRule type="cellIs" dxfId="4" priority="5" operator="lessThan">
      <formula>$B16/100</formula>
    </cfRule>
  </conditionalFormatting>
  <conditionalFormatting sqref="Q20:Q21 S20:S21 U20:U21 W20:W21 Y20:Y21 AA20:AA21">
    <cfRule type="cellIs" dxfId="3" priority="4" operator="lessThan">
      <formula>$B20/100</formula>
    </cfRule>
  </conditionalFormatting>
  <conditionalFormatting sqref="Q24:Q25 S24:S25 U24:U25 W24:W25 Y24:Y25 AA24:AA25">
    <cfRule type="cellIs" dxfId="2" priority="3" operator="lessThan">
      <formula>$B24/100</formula>
    </cfRule>
  </conditionalFormatting>
  <conditionalFormatting sqref="Q28:Q29 S28:S29 U28:U29 W28:W29 Y28:Y29 AA28:AA29">
    <cfRule type="cellIs" dxfId="1" priority="2" operator="lessThan">
      <formula>$B28/100</formula>
    </cfRule>
  </conditionalFormatting>
  <conditionalFormatting sqref="Q32:Q34 S32:S34 U32:U34 W32:W34 Y32:Y34 AA32:AA34">
    <cfRule type="cellIs" dxfId="0" priority="1" operator="lessThan">
      <formula>$B32/100</formula>
    </cfRule>
  </conditionalFormatting>
  <dataValidations count="1">
    <dataValidation type="whole" allowBlank="1" showInputMessage="1" showErrorMessage="1" errorTitle="RCN Error" error="RCN must be a whole number between 40 and 95" sqref="P5" xr:uid="{00000000-0002-0000-0600-000000000000}">
      <formula1>40</formula1>
      <formula2>95</formula2>
    </dataValidation>
  </dataValidations>
  <pageMargins left="0.7" right="0.7" top="0.75" bottom="0.75" header="0.3" footer="0.3"/>
  <pageSetup scale="71" orientation="landscape" verticalDpi="597" r:id="rId1"/>
  <headerFooter>
    <oddHeader>&amp;LNRCS Nebraska&amp;R10/2016</oddHeader>
  </headerFooter>
  <rowBreaks count="1" manualBreakCount="1">
    <brk id="57" max="8"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County!$B$1:$E$1</xm:f>
          </x14:formula1>
          <xm:sqref>T3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showGridLines="0" showRowColHeaders="0" topLeftCell="A25" zoomScaleNormal="100" workbookViewId="0"/>
  </sheetViews>
  <sheetFormatPr defaultRowHeight="14.4" x14ac:dyDescent="0.3"/>
  <cols>
    <col min="1" max="1" width="9.109375" customWidth="1"/>
  </cols>
  <sheetData>
    <row r="1" spans="1:1" ht="15" customHeight="1" x14ac:dyDescent="0.3">
      <c r="A1" s="18"/>
    </row>
  </sheetData>
  <sheetProtection algorithmName="SHA-512" hashValue="9fNiI+i/UnQqewcAcfyATEbTMUZlmDD0HR1rS6kYraN2L8wYPKKeCbOiTBuDhW6TmdPOsBQstEQt/j8RpafpAw==" saltValue="POxegt6U3b3IkARqNq71Hg==" spinCount="100000" sheet="1" objects="1" scenarios="1"/>
  <pageMargins left="0.7" right="0.7" top="0.75" bottom="0.75" header="0.3" footer="0.3"/>
  <pageSetup orientation="portrait" verticalDpi="597" r:id="rId1"/>
  <drawing r:id="rId2"/>
  <legacyDrawing r:id="rId3"/>
  <oleObjects>
    <mc:AlternateContent xmlns:mc="http://schemas.openxmlformats.org/markup-compatibility/2006">
      <mc:Choice Requires="x14">
        <oleObject progId="Word.Document.12" shapeId="7169" r:id="rId4">
          <objectPr defaultSize="0" autoPict="0" r:id="rId5">
            <anchor moveWithCells="1">
              <from>
                <xdr:col>0</xdr:col>
                <xdr:colOff>0</xdr:colOff>
                <xdr:row>2</xdr:row>
                <xdr:rowOff>45720</xdr:rowOff>
              </from>
              <to>
                <xdr:col>8</xdr:col>
                <xdr:colOff>563880</xdr:colOff>
                <xdr:row>46</xdr:row>
                <xdr:rowOff>160020</xdr:rowOff>
              </to>
            </anchor>
          </objectPr>
        </oleObject>
      </mc:Choice>
      <mc:Fallback>
        <oleObject progId="Word.Document.12" shapeId="7169" r:id="rId4"/>
      </mc:Fallback>
    </mc:AlternateContent>
    <mc:AlternateContent xmlns:mc="http://schemas.openxmlformats.org/markup-compatibility/2006">
      <mc:Choice Requires="x14">
        <oleObject progId="Word.Document.12" shapeId="7170" r:id="rId6">
          <objectPr defaultSize="0" autoPict="0" r:id="rId7">
            <anchor moveWithCells="1">
              <from>
                <xdr:col>0</xdr:col>
                <xdr:colOff>68580</xdr:colOff>
                <xdr:row>47</xdr:row>
                <xdr:rowOff>45720</xdr:rowOff>
              </from>
              <to>
                <xdr:col>8</xdr:col>
                <xdr:colOff>518160</xdr:colOff>
                <xdr:row>73</xdr:row>
                <xdr:rowOff>175260</xdr:rowOff>
              </to>
            </anchor>
          </objectPr>
        </oleObject>
      </mc:Choice>
      <mc:Fallback>
        <oleObject progId="Word.Document.12" shapeId="7170"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B68"/>
  <sheetViews>
    <sheetView showRowColHeaders="0" zoomScaleNormal="100" workbookViewId="0">
      <pane ySplit="7" topLeftCell="A8" activePane="bottomLeft" state="frozen"/>
      <selection pane="bottomLeft" activeCell="I19" sqref="I19"/>
    </sheetView>
  </sheetViews>
  <sheetFormatPr defaultRowHeight="14.4" x14ac:dyDescent="0.3"/>
  <cols>
    <col min="1" max="1" width="11" customWidth="1"/>
    <col min="2" max="2" width="16.6640625" bestFit="1" customWidth="1"/>
    <col min="3" max="3" width="15.109375" customWidth="1"/>
    <col min="4" max="4" width="16.6640625" customWidth="1"/>
    <col min="5" max="5" width="13.6640625" bestFit="1" customWidth="1"/>
    <col min="6" max="6" width="16.6640625" customWidth="1"/>
    <col min="7" max="7" width="13.6640625" bestFit="1" customWidth="1"/>
    <col min="10" max="10" width="11" customWidth="1"/>
    <col min="11" max="11" width="16.5546875" customWidth="1"/>
    <col min="12" max="12" width="13.6640625" bestFit="1" customWidth="1"/>
    <col min="13" max="13" width="16.6640625" bestFit="1" customWidth="1"/>
    <col min="14" max="14" width="13.44140625" customWidth="1"/>
    <col min="15" max="15" width="16.6640625" bestFit="1" customWidth="1"/>
    <col min="16" max="16" width="13.6640625" bestFit="1" customWidth="1"/>
    <col min="18" max="18" width="11" customWidth="1"/>
    <col min="19" max="19" width="16.6640625" customWidth="1"/>
    <col min="20" max="20" width="15.109375" customWidth="1"/>
    <col min="21" max="21" width="16.88671875" customWidth="1"/>
    <col min="22" max="22" width="13.6640625" customWidth="1"/>
    <col min="23" max="23" width="16.6640625" customWidth="1"/>
    <col min="24" max="24" width="13.6640625" customWidth="1"/>
    <col min="26" max="26" width="11" customWidth="1"/>
    <col min="27" max="27" width="16.6640625" customWidth="1"/>
    <col min="28" max="28" width="15.109375" customWidth="1"/>
    <col min="29" max="29" width="16.88671875" customWidth="1"/>
    <col min="30" max="30" width="13.6640625" customWidth="1"/>
    <col min="31" max="31" width="16.6640625" customWidth="1"/>
    <col min="32" max="32" width="13.6640625" customWidth="1"/>
    <col min="34" max="34" width="11" customWidth="1"/>
    <col min="35" max="35" width="19.6640625" customWidth="1"/>
    <col min="36" max="36" width="15.109375" customWidth="1"/>
    <col min="37" max="37" width="19.6640625" customWidth="1"/>
    <col min="38" max="38" width="13.6640625" customWidth="1"/>
    <col min="39" max="39" width="19.6640625" customWidth="1"/>
    <col min="40" max="40" width="13.6640625" customWidth="1"/>
    <col min="42" max="42" width="11" customWidth="1"/>
    <col min="43" max="43" width="19.6640625" customWidth="1"/>
    <col min="44" max="44" width="15.109375" customWidth="1"/>
    <col min="45" max="45" width="19.6640625" customWidth="1"/>
    <col min="46" max="46" width="13.6640625" customWidth="1"/>
    <col min="47" max="47" width="19.6640625" customWidth="1"/>
    <col min="48" max="48" width="13.6640625" customWidth="1"/>
    <col min="50" max="50" width="11" customWidth="1"/>
    <col min="51" max="51" width="19.6640625" customWidth="1"/>
    <col min="52" max="52" width="15.109375" customWidth="1"/>
    <col min="53" max="53" width="19.6640625" customWidth="1"/>
    <col min="54" max="54" width="13.6640625" customWidth="1"/>
    <col min="55" max="55" width="19.6640625" customWidth="1"/>
    <col min="56" max="56" width="13.6640625" customWidth="1"/>
    <col min="58" max="58" width="11" customWidth="1"/>
    <col min="59" max="59" width="19.6640625" customWidth="1"/>
    <col min="60" max="60" width="15.109375" customWidth="1"/>
    <col min="61" max="61" width="19.6640625" customWidth="1"/>
    <col min="62" max="62" width="13.6640625" customWidth="1"/>
    <col min="63" max="63" width="19.6640625" customWidth="1"/>
    <col min="64" max="64" width="13.6640625" customWidth="1"/>
    <col min="66" max="66" width="11" customWidth="1"/>
    <col min="67" max="67" width="19.6640625" customWidth="1"/>
    <col min="68" max="68" width="15.109375" customWidth="1"/>
    <col min="69" max="69" width="19.6640625" customWidth="1"/>
    <col min="70" max="70" width="13.6640625" customWidth="1"/>
    <col min="71" max="71" width="19.6640625" customWidth="1"/>
    <col min="72" max="72" width="13.6640625" customWidth="1"/>
    <col min="74" max="74" width="11" customWidth="1"/>
    <col min="75" max="75" width="19.6640625" customWidth="1"/>
    <col min="76" max="76" width="15.109375" customWidth="1"/>
    <col min="77" max="77" width="19.6640625" customWidth="1"/>
    <col min="78" max="78" width="13.6640625" customWidth="1"/>
    <col min="79" max="79" width="19.6640625" customWidth="1"/>
    <col min="80" max="80" width="13.6640625" customWidth="1"/>
  </cols>
  <sheetData>
    <row r="2" spans="1:80" ht="18.600000000000001" thickBot="1" x14ac:dyDescent="0.4">
      <c r="A2" s="229" t="s">
        <v>31</v>
      </c>
      <c r="B2" s="230"/>
      <c r="C2" s="230"/>
      <c r="D2" s="230"/>
      <c r="E2" s="230"/>
      <c r="F2" s="230"/>
      <c r="G2" s="230"/>
      <c r="J2" s="229" t="s">
        <v>32</v>
      </c>
      <c r="K2" s="230"/>
      <c r="L2" s="230"/>
      <c r="M2" s="230"/>
      <c r="N2" s="230"/>
      <c r="O2" s="230"/>
      <c r="P2" s="230"/>
      <c r="R2" s="229" t="s">
        <v>33</v>
      </c>
      <c r="S2" s="230"/>
      <c r="T2" s="230"/>
      <c r="U2" s="230"/>
      <c r="V2" s="230"/>
      <c r="W2" s="230"/>
      <c r="X2" s="230"/>
      <c r="Z2" s="229" t="s">
        <v>36</v>
      </c>
      <c r="AA2" s="230"/>
      <c r="AB2" s="230"/>
      <c r="AC2" s="230"/>
      <c r="AD2" s="230"/>
      <c r="AE2" s="230"/>
      <c r="AF2" s="230"/>
      <c r="AH2" s="229" t="s">
        <v>38</v>
      </c>
      <c r="AI2" s="230"/>
      <c r="AJ2" s="230"/>
      <c r="AK2" s="230"/>
      <c r="AL2" s="230"/>
      <c r="AM2" s="230"/>
      <c r="AN2" s="230"/>
      <c r="AP2" s="229" t="s">
        <v>39</v>
      </c>
      <c r="AQ2" s="230"/>
      <c r="AR2" s="230"/>
      <c r="AS2" s="230"/>
      <c r="AT2" s="230"/>
      <c r="AU2" s="230"/>
      <c r="AV2" s="230"/>
      <c r="AX2" s="229" t="s">
        <v>40</v>
      </c>
      <c r="AY2" s="230"/>
      <c r="AZ2" s="230"/>
      <c r="BA2" s="230"/>
      <c r="BB2" s="230"/>
      <c r="BC2" s="230"/>
      <c r="BD2" s="230"/>
      <c r="BF2" s="229" t="s">
        <v>41</v>
      </c>
      <c r="BG2" s="230"/>
      <c r="BH2" s="230"/>
      <c r="BI2" s="230"/>
      <c r="BJ2" s="230"/>
      <c r="BK2" s="230"/>
      <c r="BL2" s="230"/>
      <c r="BN2" s="229" t="s">
        <v>45</v>
      </c>
      <c r="BO2" s="230"/>
      <c r="BP2" s="230"/>
      <c r="BQ2" s="230"/>
      <c r="BR2" s="230"/>
      <c r="BS2" s="230"/>
      <c r="BT2" s="230"/>
      <c r="BV2" s="229" t="s">
        <v>46</v>
      </c>
      <c r="BW2" s="230"/>
      <c r="BX2" s="230"/>
      <c r="BY2" s="230"/>
      <c r="BZ2" s="230"/>
      <c r="CA2" s="230"/>
      <c r="CB2" s="230"/>
    </row>
    <row r="3" spans="1:80" ht="15" thickTop="1" x14ac:dyDescent="0.3">
      <c r="B3" t="s">
        <v>6</v>
      </c>
      <c r="D3">
        <v>30</v>
      </c>
      <c r="E3" t="s">
        <v>7</v>
      </c>
      <c r="K3" t="s">
        <v>6</v>
      </c>
      <c r="M3">
        <v>30</v>
      </c>
      <c r="N3" t="s">
        <v>7</v>
      </c>
      <c r="T3" s="232" t="s">
        <v>37</v>
      </c>
      <c r="U3" s="232"/>
      <c r="V3" s="232"/>
      <c r="AB3" s="232" t="s">
        <v>37</v>
      </c>
      <c r="AC3" s="232"/>
      <c r="AD3" s="232"/>
      <c r="AJ3" s="232" t="s">
        <v>37</v>
      </c>
      <c r="AK3" s="232"/>
      <c r="AL3" s="232"/>
      <c r="AR3" s="232" t="s">
        <v>37</v>
      </c>
      <c r="AS3" s="232"/>
      <c r="AT3" s="232"/>
      <c r="AZ3" s="232" t="s">
        <v>37</v>
      </c>
      <c r="BA3" s="232"/>
      <c r="BB3" s="232"/>
      <c r="BH3" s="232" t="s">
        <v>37</v>
      </c>
      <c r="BI3" s="232"/>
      <c r="BJ3" s="232"/>
      <c r="BP3" s="232" t="s">
        <v>37</v>
      </c>
      <c r="BQ3" s="232"/>
      <c r="BR3" s="232"/>
      <c r="BX3" s="232" t="s">
        <v>37</v>
      </c>
      <c r="BY3" s="232"/>
      <c r="BZ3" s="232"/>
    </row>
    <row r="4" spans="1:80" x14ac:dyDescent="0.3">
      <c r="B4" t="s">
        <v>9</v>
      </c>
      <c r="D4">
        <v>0.5</v>
      </c>
      <c r="E4" t="s">
        <v>10</v>
      </c>
      <c r="K4" t="s">
        <v>9</v>
      </c>
      <c r="M4">
        <v>0.5</v>
      </c>
      <c r="N4" t="s">
        <v>10</v>
      </c>
      <c r="T4" s="5" t="s">
        <v>34</v>
      </c>
      <c r="U4">
        <v>1.4999999999999999E-2</v>
      </c>
      <c r="V4" t="s">
        <v>35</v>
      </c>
      <c r="AB4" s="5" t="s">
        <v>34</v>
      </c>
      <c r="AC4">
        <v>1.4999999999999999E-2</v>
      </c>
      <c r="AD4" t="s">
        <v>35</v>
      </c>
      <c r="AJ4" s="5" t="s">
        <v>34</v>
      </c>
      <c r="AK4">
        <v>2.5000000000000001E-2</v>
      </c>
      <c r="AL4" t="s">
        <v>42</v>
      </c>
      <c r="AR4" s="5" t="s">
        <v>34</v>
      </c>
      <c r="AS4">
        <v>2.5000000000000001E-2</v>
      </c>
      <c r="AT4" t="s">
        <v>42</v>
      </c>
      <c r="AZ4" s="5" t="s">
        <v>34</v>
      </c>
      <c r="BA4">
        <v>0.04</v>
      </c>
      <c r="BB4" t="s">
        <v>43</v>
      </c>
      <c r="BH4" s="5" t="s">
        <v>34</v>
      </c>
      <c r="BI4">
        <v>0.04</v>
      </c>
      <c r="BJ4" t="s">
        <v>43</v>
      </c>
      <c r="BP4" s="5" t="s">
        <v>34</v>
      </c>
      <c r="BQ4">
        <v>0.06</v>
      </c>
      <c r="BR4" t="s">
        <v>44</v>
      </c>
      <c r="BX4" s="5" t="s">
        <v>34</v>
      </c>
      <c r="BY4">
        <v>0.06</v>
      </c>
      <c r="BZ4" t="s">
        <v>44</v>
      </c>
    </row>
    <row r="5" spans="1:80" x14ac:dyDescent="0.3">
      <c r="B5" t="s">
        <v>8</v>
      </c>
      <c r="D5">
        <v>0.5</v>
      </c>
      <c r="E5" t="s">
        <v>11</v>
      </c>
      <c r="K5" t="s">
        <v>8</v>
      </c>
      <c r="M5">
        <v>0.5</v>
      </c>
      <c r="N5" t="s">
        <v>11</v>
      </c>
      <c r="T5" s="5" t="s">
        <v>8</v>
      </c>
      <c r="U5">
        <v>0</v>
      </c>
      <c r="V5" s="7" t="s">
        <v>47</v>
      </c>
      <c r="AB5" s="5" t="s">
        <v>8</v>
      </c>
      <c r="AC5">
        <v>0</v>
      </c>
      <c r="AD5" s="7" t="s">
        <v>47</v>
      </c>
      <c r="AJ5" s="5" t="s">
        <v>8</v>
      </c>
      <c r="AK5">
        <v>0</v>
      </c>
      <c r="AL5" s="7" t="s">
        <v>47</v>
      </c>
      <c r="AR5" s="5" t="s">
        <v>8</v>
      </c>
      <c r="AS5">
        <v>0</v>
      </c>
      <c r="AT5" s="7" t="s">
        <v>47</v>
      </c>
      <c r="AZ5" s="5" t="s">
        <v>8</v>
      </c>
      <c r="BA5">
        <v>0</v>
      </c>
      <c r="BB5" s="7" t="s">
        <v>47</v>
      </c>
      <c r="BH5" s="5" t="s">
        <v>8</v>
      </c>
      <c r="BI5">
        <v>0</v>
      </c>
      <c r="BJ5" s="7" t="s">
        <v>47</v>
      </c>
      <c r="BP5" s="5" t="s">
        <v>8</v>
      </c>
      <c r="BQ5">
        <v>0</v>
      </c>
      <c r="BR5" s="7" t="s">
        <v>47</v>
      </c>
      <c r="BX5" s="5" t="s">
        <v>8</v>
      </c>
      <c r="BY5">
        <v>0</v>
      </c>
      <c r="BZ5" s="7" t="s">
        <v>47</v>
      </c>
    </row>
    <row r="6" spans="1:80" ht="16.5" customHeight="1" x14ac:dyDescent="0.3">
      <c r="B6" s="231" t="s">
        <v>4</v>
      </c>
      <c r="C6" s="231"/>
      <c r="D6" s="231" t="s">
        <v>5</v>
      </c>
      <c r="E6" s="231"/>
      <c r="F6" s="219" t="s">
        <v>12</v>
      </c>
      <c r="G6" s="231"/>
      <c r="K6" s="231" t="s">
        <v>4</v>
      </c>
      <c r="L6" s="231"/>
      <c r="M6" s="231" t="s">
        <v>5</v>
      </c>
      <c r="N6" s="231"/>
      <c r="O6" s="219" t="s">
        <v>12</v>
      </c>
      <c r="P6" s="231"/>
      <c r="S6" s="231" t="s">
        <v>4</v>
      </c>
      <c r="T6" s="231"/>
      <c r="U6" s="231" t="s">
        <v>5</v>
      </c>
      <c r="V6" s="231"/>
      <c r="W6" s="219" t="s">
        <v>12</v>
      </c>
      <c r="X6" s="231"/>
      <c r="AA6" s="231" t="s">
        <v>4</v>
      </c>
      <c r="AB6" s="231"/>
      <c r="AC6" s="231" t="s">
        <v>5</v>
      </c>
      <c r="AD6" s="231"/>
      <c r="AE6" s="219" t="s">
        <v>12</v>
      </c>
      <c r="AF6" s="231"/>
      <c r="AI6" s="231" t="s">
        <v>4</v>
      </c>
      <c r="AJ6" s="231"/>
      <c r="AK6" s="231" t="s">
        <v>5</v>
      </c>
      <c r="AL6" s="231"/>
      <c r="AM6" s="219" t="s">
        <v>12</v>
      </c>
      <c r="AN6" s="231"/>
      <c r="AQ6" s="231" t="s">
        <v>4</v>
      </c>
      <c r="AR6" s="231"/>
      <c r="AS6" s="231" t="s">
        <v>5</v>
      </c>
      <c r="AT6" s="231"/>
      <c r="AU6" s="219" t="s">
        <v>12</v>
      </c>
      <c r="AV6" s="231"/>
      <c r="AY6" s="231" t="s">
        <v>4</v>
      </c>
      <c r="AZ6" s="231"/>
      <c r="BA6" s="231" t="s">
        <v>5</v>
      </c>
      <c r="BB6" s="231"/>
      <c r="BC6" s="219" t="s">
        <v>12</v>
      </c>
      <c r="BD6" s="231"/>
      <c r="BG6" s="231" t="s">
        <v>4</v>
      </c>
      <c r="BH6" s="231"/>
      <c r="BI6" s="231" t="s">
        <v>5</v>
      </c>
      <c r="BJ6" s="231"/>
      <c r="BK6" s="219" t="s">
        <v>12</v>
      </c>
      <c r="BL6" s="231"/>
      <c r="BO6" s="231" t="s">
        <v>4</v>
      </c>
      <c r="BP6" s="231"/>
      <c r="BQ6" s="231" t="s">
        <v>5</v>
      </c>
      <c r="BR6" s="231"/>
      <c r="BS6" s="219" t="s">
        <v>12</v>
      </c>
      <c r="BT6" s="231"/>
      <c r="BW6" s="231" t="s">
        <v>4</v>
      </c>
      <c r="BX6" s="231"/>
      <c r="BY6" s="231" t="s">
        <v>5</v>
      </c>
      <c r="BZ6" s="231"/>
      <c r="CA6" s="219" t="s">
        <v>12</v>
      </c>
      <c r="CB6" s="231"/>
    </row>
    <row r="7" spans="1:80" ht="16.5" customHeight="1" thickBot="1" x14ac:dyDescent="0.35">
      <c r="A7" s="6" t="s">
        <v>1</v>
      </c>
      <c r="B7" s="6" t="s">
        <v>2</v>
      </c>
      <c r="C7" s="6" t="s">
        <v>3</v>
      </c>
      <c r="D7" s="6" t="s">
        <v>2</v>
      </c>
      <c r="E7" s="6" t="s">
        <v>3</v>
      </c>
      <c r="F7" s="6" t="s">
        <v>2</v>
      </c>
      <c r="G7" s="6" t="s">
        <v>3</v>
      </c>
      <c r="J7" s="2" t="s">
        <v>1</v>
      </c>
      <c r="K7" s="2" t="s">
        <v>2</v>
      </c>
      <c r="L7" s="2" t="s">
        <v>3</v>
      </c>
      <c r="M7" s="2" t="s">
        <v>2</v>
      </c>
      <c r="N7" s="2" t="s">
        <v>3</v>
      </c>
      <c r="O7" s="2" t="s">
        <v>2</v>
      </c>
      <c r="P7" s="2" t="s">
        <v>3</v>
      </c>
      <c r="R7" s="2" t="s">
        <v>1</v>
      </c>
      <c r="S7" s="2" t="s">
        <v>2</v>
      </c>
      <c r="T7" s="2" t="s">
        <v>3</v>
      </c>
      <c r="U7" s="2" t="s">
        <v>2</v>
      </c>
      <c r="V7" s="2" t="s">
        <v>3</v>
      </c>
      <c r="W7" s="2" t="s">
        <v>2</v>
      </c>
      <c r="X7" s="2" t="s">
        <v>3</v>
      </c>
      <c r="Z7" s="2" t="s">
        <v>1</v>
      </c>
      <c r="AA7" s="22" t="s">
        <v>2</v>
      </c>
      <c r="AB7" s="22" t="s">
        <v>3</v>
      </c>
      <c r="AC7" s="22" t="s">
        <v>2</v>
      </c>
      <c r="AD7" s="22" t="s">
        <v>3</v>
      </c>
      <c r="AE7" s="22" t="s">
        <v>2</v>
      </c>
      <c r="AF7" s="22" t="s">
        <v>3</v>
      </c>
      <c r="AH7" s="2" t="s">
        <v>1</v>
      </c>
      <c r="AI7" s="2" t="s">
        <v>2</v>
      </c>
      <c r="AJ7" s="2" t="s">
        <v>3</v>
      </c>
      <c r="AK7" s="2" t="s">
        <v>2</v>
      </c>
      <c r="AL7" s="2" t="s">
        <v>3</v>
      </c>
      <c r="AM7" s="2" t="s">
        <v>2</v>
      </c>
      <c r="AN7" s="2" t="s">
        <v>3</v>
      </c>
      <c r="AP7" s="2" t="s">
        <v>1</v>
      </c>
      <c r="AQ7" s="22" t="s">
        <v>2</v>
      </c>
      <c r="AR7" s="22" t="s">
        <v>3</v>
      </c>
      <c r="AS7" s="22" t="s">
        <v>2</v>
      </c>
      <c r="AT7" s="22" t="s">
        <v>3</v>
      </c>
      <c r="AU7" s="22" t="s">
        <v>2</v>
      </c>
      <c r="AV7" s="22" t="s">
        <v>3</v>
      </c>
      <c r="AX7" s="2" t="s">
        <v>1</v>
      </c>
      <c r="AY7" s="2" t="s">
        <v>2</v>
      </c>
      <c r="AZ7" s="2" t="s">
        <v>3</v>
      </c>
      <c r="BA7" s="2" t="s">
        <v>2</v>
      </c>
      <c r="BB7" s="2" t="s">
        <v>3</v>
      </c>
      <c r="BC7" s="2" t="s">
        <v>2</v>
      </c>
      <c r="BD7" s="2" t="s">
        <v>3</v>
      </c>
      <c r="BF7" s="2" t="s">
        <v>1</v>
      </c>
      <c r="BG7" s="22" t="s">
        <v>2</v>
      </c>
      <c r="BH7" s="22" t="s">
        <v>3</v>
      </c>
      <c r="BI7" s="22" t="s">
        <v>2</v>
      </c>
      <c r="BJ7" s="22" t="s">
        <v>3</v>
      </c>
      <c r="BK7" s="22" t="s">
        <v>2</v>
      </c>
      <c r="BL7" s="22" t="s">
        <v>3</v>
      </c>
      <c r="BN7" s="2" t="s">
        <v>1</v>
      </c>
      <c r="BO7" s="2" t="s">
        <v>2</v>
      </c>
      <c r="BP7" s="2" t="s">
        <v>3</v>
      </c>
      <c r="BQ7" s="2" t="s">
        <v>2</v>
      </c>
      <c r="BR7" s="2" t="s">
        <v>3</v>
      </c>
      <c r="BS7" s="2" t="s">
        <v>2</v>
      </c>
      <c r="BT7" s="2" t="s">
        <v>3</v>
      </c>
      <c r="BV7" s="2" t="s">
        <v>1</v>
      </c>
      <c r="BW7" s="22" t="s">
        <v>2</v>
      </c>
      <c r="BX7" s="22" t="s">
        <v>3</v>
      </c>
      <c r="BY7" s="22" t="s">
        <v>2</v>
      </c>
      <c r="BZ7" s="22" t="s">
        <v>3</v>
      </c>
      <c r="CA7" s="22" t="s">
        <v>2</v>
      </c>
      <c r="CB7" s="22" t="s">
        <v>3</v>
      </c>
    </row>
    <row r="8" spans="1:80" ht="15.75" customHeight="1" x14ac:dyDescent="0.3">
      <c r="A8" s="4">
        <v>1</v>
      </c>
      <c r="B8" s="4">
        <v>30</v>
      </c>
      <c r="C8" s="4">
        <v>0.12</v>
      </c>
      <c r="D8" s="4">
        <v>30</v>
      </c>
      <c r="E8" s="4">
        <v>0.11</v>
      </c>
      <c r="F8" s="4">
        <v>30</v>
      </c>
      <c r="G8" s="4">
        <v>0.1</v>
      </c>
      <c r="J8" s="1">
        <v>1</v>
      </c>
      <c r="K8" s="1">
        <v>30</v>
      </c>
      <c r="L8" s="1">
        <v>0.12</v>
      </c>
      <c r="M8" s="1">
        <v>30</v>
      </c>
      <c r="N8" s="1">
        <v>0.11</v>
      </c>
      <c r="O8" s="1">
        <v>30</v>
      </c>
      <c r="P8" s="1">
        <v>0.1</v>
      </c>
      <c r="R8" s="1">
        <v>1</v>
      </c>
      <c r="S8" s="15">
        <v>0.7</v>
      </c>
      <c r="T8" s="15">
        <v>0.11</v>
      </c>
      <c r="U8" s="15">
        <v>1</v>
      </c>
      <c r="V8" s="15">
        <v>7.0000000000000007E-2</v>
      </c>
      <c r="W8" s="15">
        <v>1.3</v>
      </c>
      <c r="X8" s="15">
        <v>0.06</v>
      </c>
      <c r="Z8" s="21">
        <v>1</v>
      </c>
      <c r="AA8" s="15">
        <v>0.3</v>
      </c>
      <c r="AB8" s="15">
        <v>0.14000000000000001</v>
      </c>
      <c r="AC8" s="15">
        <v>0.5</v>
      </c>
      <c r="AD8" s="15">
        <v>0.09</v>
      </c>
      <c r="AE8" s="2">
        <v>0.6</v>
      </c>
      <c r="AF8" s="2">
        <v>7.0000000000000007E-2</v>
      </c>
      <c r="AH8" s="1">
        <v>1</v>
      </c>
      <c r="AI8" s="25">
        <v>2</v>
      </c>
      <c r="AJ8" s="25">
        <v>0.1</v>
      </c>
      <c r="AK8" s="25">
        <v>2.8</v>
      </c>
      <c r="AL8" s="25">
        <v>7.0000000000000007E-2</v>
      </c>
      <c r="AM8" s="25">
        <v>3.5</v>
      </c>
      <c r="AN8" s="25">
        <v>0.06</v>
      </c>
      <c r="AP8" s="21">
        <v>1</v>
      </c>
      <c r="AQ8" s="15">
        <v>0.9</v>
      </c>
      <c r="AR8" s="15">
        <v>0.13</v>
      </c>
      <c r="AS8" s="15">
        <v>1.3</v>
      </c>
      <c r="AT8" s="15">
        <v>0.09</v>
      </c>
      <c r="AU8" s="1">
        <v>1.7</v>
      </c>
      <c r="AV8" s="1">
        <v>7.0000000000000007E-2</v>
      </c>
      <c r="AX8" s="1">
        <v>1</v>
      </c>
      <c r="AY8" s="15">
        <v>5</v>
      </c>
      <c r="AZ8" s="15">
        <v>0.11</v>
      </c>
      <c r="BA8" s="15">
        <v>7</v>
      </c>
      <c r="BB8" s="15">
        <v>7.0000000000000007E-2</v>
      </c>
      <c r="BC8" s="15">
        <v>9</v>
      </c>
      <c r="BD8" s="15">
        <v>0.06</v>
      </c>
      <c r="BF8" s="21">
        <v>1</v>
      </c>
      <c r="BG8" s="15">
        <v>2.4</v>
      </c>
      <c r="BH8" s="15">
        <v>0.13</v>
      </c>
      <c r="BI8" s="15">
        <v>3.5</v>
      </c>
      <c r="BJ8" s="15">
        <v>0.09</v>
      </c>
      <c r="BK8" s="1">
        <v>4.2</v>
      </c>
      <c r="BL8" s="1">
        <v>7.0000000000000007E-2</v>
      </c>
      <c r="BN8" s="1">
        <v>1</v>
      </c>
      <c r="BO8" s="15">
        <v>11</v>
      </c>
      <c r="BP8" s="15">
        <v>0.11</v>
      </c>
      <c r="BQ8" s="15">
        <v>16</v>
      </c>
      <c r="BR8" s="15">
        <v>7.0000000000000007E-2</v>
      </c>
      <c r="BS8" s="15">
        <v>20</v>
      </c>
      <c r="BT8" s="15">
        <v>0.06</v>
      </c>
      <c r="BV8" s="21">
        <v>1</v>
      </c>
      <c r="BW8" s="15">
        <v>5.5</v>
      </c>
      <c r="BX8" s="15">
        <v>0.13</v>
      </c>
      <c r="BY8" s="15">
        <v>7.6</v>
      </c>
      <c r="BZ8" s="15">
        <v>0.09</v>
      </c>
      <c r="CA8" s="1">
        <v>9.6</v>
      </c>
      <c r="CB8" s="1">
        <v>7.0000000000000007E-2</v>
      </c>
    </row>
    <row r="9" spans="1:80" x14ac:dyDescent="0.3">
      <c r="A9" s="1">
        <v>2</v>
      </c>
      <c r="B9" s="1">
        <v>30</v>
      </c>
      <c r="C9" s="1">
        <v>0.15</v>
      </c>
      <c r="D9" s="1">
        <v>30</v>
      </c>
      <c r="E9" s="1">
        <v>0.13</v>
      </c>
      <c r="F9" s="1">
        <v>30</v>
      </c>
      <c r="G9" s="1">
        <v>0.12</v>
      </c>
      <c r="J9" s="1">
        <v>2</v>
      </c>
      <c r="K9" s="1">
        <v>16</v>
      </c>
      <c r="L9" s="1">
        <v>0.18</v>
      </c>
      <c r="M9" s="1">
        <v>30</v>
      </c>
      <c r="N9" s="1">
        <v>0.13</v>
      </c>
      <c r="O9" s="1">
        <v>30</v>
      </c>
      <c r="P9" s="1">
        <v>0.12</v>
      </c>
      <c r="R9" s="1">
        <v>2</v>
      </c>
      <c r="S9" s="15">
        <v>0.4</v>
      </c>
      <c r="T9" s="15">
        <v>0.19</v>
      </c>
      <c r="U9" s="15">
        <v>0.5</v>
      </c>
      <c r="V9" s="15">
        <v>0.14000000000000001</v>
      </c>
      <c r="W9" s="15">
        <v>0.7</v>
      </c>
      <c r="X9" s="15">
        <v>0.11</v>
      </c>
      <c r="Z9" s="21">
        <v>2</v>
      </c>
      <c r="AA9" s="15">
        <v>0.2</v>
      </c>
      <c r="AB9" s="15">
        <v>0.23</v>
      </c>
      <c r="AC9" s="15">
        <v>0.2</v>
      </c>
      <c r="AD9" s="15">
        <v>0.18</v>
      </c>
      <c r="AE9" s="2">
        <v>0.3</v>
      </c>
      <c r="AF9" s="2">
        <v>0.14000000000000001</v>
      </c>
      <c r="AH9" s="1">
        <v>2</v>
      </c>
      <c r="AI9" s="25">
        <v>1</v>
      </c>
      <c r="AJ9" s="25">
        <v>0.2</v>
      </c>
      <c r="AK9" s="25">
        <v>1.5</v>
      </c>
      <c r="AL9" s="25">
        <v>0.14000000000000001</v>
      </c>
      <c r="AM9" s="25">
        <v>1.9</v>
      </c>
      <c r="AN9" s="25">
        <v>0.11</v>
      </c>
      <c r="AP9" s="21">
        <v>2</v>
      </c>
      <c r="AQ9" s="15">
        <v>0.5</v>
      </c>
      <c r="AR9" s="15">
        <v>0.24</v>
      </c>
      <c r="AS9" s="15">
        <v>0.7</v>
      </c>
      <c r="AT9" s="15">
        <v>0.17</v>
      </c>
      <c r="AU9" s="1">
        <v>0.9</v>
      </c>
      <c r="AV9" s="1">
        <v>0.13</v>
      </c>
      <c r="AX9" s="1">
        <v>2</v>
      </c>
      <c r="AY9" s="15">
        <v>2.8</v>
      </c>
      <c r="AZ9" s="15">
        <v>0.19</v>
      </c>
      <c r="BA9" s="15">
        <v>3.8</v>
      </c>
      <c r="BB9" s="15">
        <v>0.14000000000000001</v>
      </c>
      <c r="BC9" s="15">
        <v>5</v>
      </c>
      <c r="BD9" s="15">
        <v>0.11</v>
      </c>
      <c r="BF9" s="21">
        <v>2</v>
      </c>
      <c r="BG9" s="15">
        <v>1.3</v>
      </c>
      <c r="BH9" s="15">
        <v>0.24</v>
      </c>
      <c r="BI9" s="15">
        <v>1.8</v>
      </c>
      <c r="BJ9" s="15">
        <v>0.17</v>
      </c>
      <c r="BK9" s="1">
        <v>2.4</v>
      </c>
      <c r="BL9" s="1">
        <v>0.13</v>
      </c>
      <c r="BN9" s="1">
        <v>2</v>
      </c>
      <c r="BO9" s="15">
        <v>6</v>
      </c>
      <c r="BP9" s="15">
        <v>0.19</v>
      </c>
      <c r="BQ9" s="15">
        <v>8.5</v>
      </c>
      <c r="BR9" s="15">
        <v>0.14000000000000001</v>
      </c>
      <c r="BS9" s="15">
        <v>11</v>
      </c>
      <c r="BT9" s="15">
        <v>0.11</v>
      </c>
      <c r="BV9" s="21">
        <v>2</v>
      </c>
      <c r="BW9" s="15">
        <v>3</v>
      </c>
      <c r="BX9" s="15">
        <v>0.24</v>
      </c>
      <c r="BY9" s="15">
        <v>4.2</v>
      </c>
      <c r="BZ9" s="15">
        <v>0.17</v>
      </c>
      <c r="CA9" s="1">
        <v>5.3</v>
      </c>
      <c r="CB9" s="1">
        <v>0.13</v>
      </c>
    </row>
    <row r="10" spans="1:80" x14ac:dyDescent="0.3">
      <c r="A10" s="1">
        <v>3</v>
      </c>
      <c r="B10" s="1">
        <v>16</v>
      </c>
      <c r="C10" s="1">
        <v>0.2</v>
      </c>
      <c r="D10" s="1">
        <v>30</v>
      </c>
      <c r="E10" s="1">
        <v>0.15</v>
      </c>
      <c r="F10" s="1">
        <v>30</v>
      </c>
      <c r="G10" s="1">
        <v>0.13</v>
      </c>
      <c r="J10" s="1">
        <v>3</v>
      </c>
      <c r="K10" s="1">
        <v>8</v>
      </c>
      <c r="L10" s="1">
        <v>0.25</v>
      </c>
      <c r="M10" s="1">
        <v>16</v>
      </c>
      <c r="N10" s="1">
        <v>0.18</v>
      </c>
      <c r="O10" s="1">
        <v>26</v>
      </c>
      <c r="P10" s="1">
        <v>0.14000000000000001</v>
      </c>
      <c r="R10" s="1">
        <v>3</v>
      </c>
      <c r="S10" s="15">
        <v>0.2</v>
      </c>
      <c r="T10" s="15">
        <v>0.3</v>
      </c>
      <c r="U10" s="15">
        <v>0.4</v>
      </c>
      <c r="V10" s="15">
        <v>0.19</v>
      </c>
      <c r="W10" s="15">
        <v>0.5</v>
      </c>
      <c r="X10" s="15">
        <v>0.15</v>
      </c>
      <c r="Z10" s="21">
        <v>3</v>
      </c>
      <c r="AA10" s="24"/>
      <c r="AB10" s="24"/>
      <c r="AC10" s="1">
        <v>0.2</v>
      </c>
      <c r="AD10" s="1">
        <v>0.23</v>
      </c>
      <c r="AE10" s="2">
        <v>0.2</v>
      </c>
      <c r="AF10" s="2">
        <v>0.2</v>
      </c>
      <c r="AH10" s="1">
        <v>3</v>
      </c>
      <c r="AI10" s="25">
        <v>0.7</v>
      </c>
      <c r="AJ10" s="25">
        <v>0.28000000000000003</v>
      </c>
      <c r="AK10" s="25">
        <v>1</v>
      </c>
      <c r="AL10" s="25">
        <v>0.2</v>
      </c>
      <c r="AM10" s="25">
        <v>1.4</v>
      </c>
      <c r="AN10" s="25">
        <v>0.15</v>
      </c>
      <c r="AP10" s="21">
        <v>3</v>
      </c>
      <c r="AQ10" s="15">
        <v>0.4</v>
      </c>
      <c r="AR10" s="15">
        <v>0.36</v>
      </c>
      <c r="AS10" s="15">
        <v>0.5</v>
      </c>
      <c r="AT10" s="15">
        <v>0.24</v>
      </c>
      <c r="AU10" s="15">
        <v>0.6</v>
      </c>
      <c r="AV10" s="15">
        <v>0.19</v>
      </c>
      <c r="AX10" s="1">
        <v>3</v>
      </c>
      <c r="AY10" s="15">
        <v>2</v>
      </c>
      <c r="AZ10" s="15">
        <v>0.27</v>
      </c>
      <c r="BA10" s="15">
        <v>2.8</v>
      </c>
      <c r="BB10" s="15">
        <v>0.19</v>
      </c>
      <c r="BC10" s="15">
        <v>3.5</v>
      </c>
      <c r="BD10" s="15">
        <v>0.15</v>
      </c>
      <c r="BF10" s="21">
        <v>3</v>
      </c>
      <c r="BG10" s="25">
        <v>0.9</v>
      </c>
      <c r="BH10" s="25">
        <v>0.34</v>
      </c>
      <c r="BI10" s="25">
        <v>1.3</v>
      </c>
      <c r="BJ10" s="25">
        <v>0.24</v>
      </c>
      <c r="BK10" s="25">
        <v>1.7</v>
      </c>
      <c r="BL10" s="25">
        <v>0.19</v>
      </c>
      <c r="BN10" s="1">
        <v>3</v>
      </c>
      <c r="BO10" s="15">
        <v>4.5</v>
      </c>
      <c r="BP10" s="15">
        <v>0.27</v>
      </c>
      <c r="BQ10" s="15">
        <v>6</v>
      </c>
      <c r="BR10" s="15">
        <v>0.19</v>
      </c>
      <c r="BS10" s="15">
        <v>8</v>
      </c>
      <c r="BT10" s="15">
        <v>0.15</v>
      </c>
      <c r="BV10" s="21">
        <v>3</v>
      </c>
      <c r="BW10" s="25">
        <v>2.1</v>
      </c>
      <c r="BX10" s="25">
        <v>0.34</v>
      </c>
      <c r="BY10" s="25">
        <v>3</v>
      </c>
      <c r="BZ10" s="25">
        <v>0.24</v>
      </c>
      <c r="CA10" s="25">
        <v>3.9</v>
      </c>
      <c r="CB10" s="25">
        <v>0.19</v>
      </c>
    </row>
    <row r="11" spans="1:80" ht="15.75" customHeight="1" x14ac:dyDescent="0.3">
      <c r="A11" s="1">
        <v>4</v>
      </c>
      <c r="B11" s="1">
        <v>10</v>
      </c>
      <c r="C11" s="1">
        <v>0.26</v>
      </c>
      <c r="D11" s="1">
        <v>20</v>
      </c>
      <c r="E11" s="1">
        <v>0.18</v>
      </c>
      <c r="F11" s="1">
        <v>30</v>
      </c>
      <c r="G11" s="1">
        <v>0.15</v>
      </c>
      <c r="J11" s="1">
        <v>4</v>
      </c>
      <c r="K11" s="1">
        <v>5</v>
      </c>
      <c r="L11" s="1">
        <v>0.32</v>
      </c>
      <c r="M11" s="1">
        <v>10</v>
      </c>
      <c r="N11" s="1">
        <v>0.22</v>
      </c>
      <c r="O11" s="1">
        <v>16</v>
      </c>
      <c r="P11" s="1">
        <v>0.18</v>
      </c>
      <c r="R11" s="1">
        <v>4</v>
      </c>
      <c r="S11" s="15">
        <v>0.2</v>
      </c>
      <c r="T11" s="15">
        <v>0.35</v>
      </c>
      <c r="U11" s="15">
        <v>0.3</v>
      </c>
      <c r="V11" s="15">
        <v>0.25</v>
      </c>
      <c r="W11" s="15">
        <v>0.4</v>
      </c>
      <c r="X11" s="15">
        <v>0.19</v>
      </c>
      <c r="Z11" s="21">
        <v>4</v>
      </c>
      <c r="AA11" s="24"/>
      <c r="AB11" s="24"/>
      <c r="AC11" s="24"/>
      <c r="AD11" s="24"/>
      <c r="AE11" s="2">
        <v>0.2</v>
      </c>
      <c r="AF11" s="2">
        <v>0.23</v>
      </c>
      <c r="AH11" s="1">
        <v>4</v>
      </c>
      <c r="AI11" s="25">
        <v>0.6</v>
      </c>
      <c r="AJ11" s="25">
        <v>0.35</v>
      </c>
      <c r="AK11" s="25">
        <v>0.8</v>
      </c>
      <c r="AL11" s="25">
        <v>0.25</v>
      </c>
      <c r="AM11" s="25">
        <v>1</v>
      </c>
      <c r="AN11" s="25">
        <v>0.2</v>
      </c>
      <c r="AP11" s="21">
        <v>4</v>
      </c>
      <c r="AQ11" s="15">
        <v>0.2</v>
      </c>
      <c r="AR11" s="15">
        <v>0.48</v>
      </c>
      <c r="AS11" s="15">
        <v>0.4</v>
      </c>
      <c r="AT11" s="15">
        <v>0.31</v>
      </c>
      <c r="AU11" s="15">
        <v>0.5</v>
      </c>
      <c r="AV11" s="15">
        <v>0.24</v>
      </c>
      <c r="AX11" s="1">
        <v>4</v>
      </c>
      <c r="AY11" s="15">
        <v>1.5</v>
      </c>
      <c r="AZ11" s="15">
        <v>0.35</v>
      </c>
      <c r="BA11" s="15">
        <v>2.1</v>
      </c>
      <c r="BB11" s="15">
        <v>0.25</v>
      </c>
      <c r="BC11" s="15">
        <v>2.8</v>
      </c>
      <c r="BD11" s="15">
        <v>0.19</v>
      </c>
      <c r="BF11" s="21">
        <v>4</v>
      </c>
      <c r="BG11" s="25">
        <v>0.7</v>
      </c>
      <c r="BH11" s="25">
        <v>0.44</v>
      </c>
      <c r="BI11" s="25">
        <v>1</v>
      </c>
      <c r="BJ11" s="25">
        <v>0.31</v>
      </c>
      <c r="BK11" s="25">
        <v>1.3</v>
      </c>
      <c r="BL11" s="25">
        <v>0.24</v>
      </c>
      <c r="BN11" s="1">
        <v>4</v>
      </c>
      <c r="BO11" s="15">
        <v>3.4</v>
      </c>
      <c r="BP11" s="15">
        <v>0.35</v>
      </c>
      <c r="BQ11" s="15">
        <v>4.8</v>
      </c>
      <c r="BR11" s="15">
        <v>0.25</v>
      </c>
      <c r="BS11" s="15">
        <v>6</v>
      </c>
      <c r="BT11" s="15">
        <v>0.19</v>
      </c>
      <c r="BV11" s="21">
        <v>4</v>
      </c>
      <c r="BW11" s="25">
        <v>1.6</v>
      </c>
      <c r="BX11" s="25">
        <v>0.44</v>
      </c>
      <c r="BY11" s="25">
        <v>2.4</v>
      </c>
      <c r="BZ11" s="25">
        <v>0.3</v>
      </c>
      <c r="CA11" s="25">
        <v>3</v>
      </c>
      <c r="CB11" s="25">
        <v>0.24</v>
      </c>
    </row>
    <row r="12" spans="1:80" ht="16.5" customHeight="1" x14ac:dyDescent="0.3">
      <c r="A12" s="1">
        <v>5</v>
      </c>
      <c r="B12" s="1">
        <v>6.5</v>
      </c>
      <c r="C12" s="1">
        <v>0.32</v>
      </c>
      <c r="D12" s="1">
        <v>13</v>
      </c>
      <c r="E12" s="1">
        <v>0.22</v>
      </c>
      <c r="F12" s="1">
        <v>22</v>
      </c>
      <c r="G12" s="1">
        <v>0.17</v>
      </c>
      <c r="J12" s="1">
        <v>5</v>
      </c>
      <c r="K12" s="1">
        <v>3.4</v>
      </c>
      <c r="L12" s="1">
        <v>0.39</v>
      </c>
      <c r="M12" s="1">
        <v>6</v>
      </c>
      <c r="N12" s="1">
        <v>0.28000000000000003</v>
      </c>
      <c r="O12" s="1">
        <v>10</v>
      </c>
      <c r="P12" s="1">
        <v>0.22</v>
      </c>
      <c r="R12" s="1">
        <v>5</v>
      </c>
      <c r="S12" s="23"/>
      <c r="T12" s="23"/>
      <c r="U12" s="15">
        <v>0.2</v>
      </c>
      <c r="V12" s="15">
        <v>0.32</v>
      </c>
      <c r="W12" s="15">
        <v>0.3</v>
      </c>
      <c r="X12" s="15">
        <v>0.24</v>
      </c>
      <c r="Z12" s="21">
        <v>5</v>
      </c>
      <c r="AA12" s="24"/>
      <c r="AB12" s="24"/>
      <c r="AC12" s="24"/>
      <c r="AD12" s="24"/>
      <c r="AE12" s="24"/>
      <c r="AF12" s="24"/>
      <c r="AH12" s="1">
        <v>5</v>
      </c>
      <c r="AI12" s="25">
        <v>0.5</v>
      </c>
      <c r="AJ12" s="25">
        <v>0.42</v>
      </c>
      <c r="AK12" s="25">
        <v>0.7</v>
      </c>
      <c r="AL12" s="25">
        <v>0.3</v>
      </c>
      <c r="AM12" s="25">
        <v>0.9</v>
      </c>
      <c r="AN12" s="25">
        <v>0.23</v>
      </c>
      <c r="AP12" s="21">
        <v>5</v>
      </c>
      <c r="AQ12" s="15">
        <v>0.2</v>
      </c>
      <c r="AR12" s="15">
        <v>0.55000000000000004</v>
      </c>
      <c r="AS12" s="15">
        <v>0.3</v>
      </c>
      <c r="AT12" s="15">
        <v>0.38</v>
      </c>
      <c r="AU12" s="15">
        <v>0.4</v>
      </c>
      <c r="AV12" s="15">
        <v>0.28999999999999998</v>
      </c>
      <c r="AX12" s="1">
        <v>5</v>
      </c>
      <c r="AY12" s="15">
        <v>1.2</v>
      </c>
      <c r="AZ12" s="15">
        <v>0.43</v>
      </c>
      <c r="BA12" s="15">
        <v>1.8</v>
      </c>
      <c r="BB12" s="15">
        <v>0.3</v>
      </c>
      <c r="BC12" s="15">
        <v>2.2999999999999998</v>
      </c>
      <c r="BD12" s="15">
        <v>0.23</v>
      </c>
      <c r="BF12" s="21">
        <v>5</v>
      </c>
      <c r="BG12" s="25">
        <v>0.6</v>
      </c>
      <c r="BH12" s="25">
        <v>0.53</v>
      </c>
      <c r="BI12" s="25">
        <v>0.8</v>
      </c>
      <c r="BJ12" s="25">
        <v>0.38</v>
      </c>
      <c r="BK12" s="25">
        <v>1.1000000000000001</v>
      </c>
      <c r="BL12" s="25">
        <v>0.28999999999999998</v>
      </c>
      <c r="BN12" s="1">
        <v>5</v>
      </c>
      <c r="BO12" s="15">
        <v>2.8</v>
      </c>
      <c r="BP12" s="15">
        <v>0.42</v>
      </c>
      <c r="BQ12" s="15">
        <v>4</v>
      </c>
      <c r="BR12" s="15">
        <v>0.3</v>
      </c>
      <c r="BS12" s="15">
        <v>5</v>
      </c>
      <c r="BT12" s="15">
        <v>0.23</v>
      </c>
      <c r="BV12" s="21">
        <v>5</v>
      </c>
      <c r="BW12" s="25">
        <v>1.4</v>
      </c>
      <c r="BX12" s="25">
        <v>0.52</v>
      </c>
      <c r="BY12" s="25">
        <v>1.9</v>
      </c>
      <c r="BZ12" s="25">
        <v>0.37</v>
      </c>
      <c r="CA12" s="25">
        <v>2.5</v>
      </c>
      <c r="CB12" s="25">
        <v>0.28999999999999998</v>
      </c>
    </row>
    <row r="13" spans="1:80" ht="16.5" customHeight="1" x14ac:dyDescent="0.3">
      <c r="A13" s="1">
        <v>6</v>
      </c>
      <c r="B13" s="1">
        <v>5</v>
      </c>
      <c r="C13" s="1">
        <v>0.37</v>
      </c>
      <c r="D13" s="1">
        <v>10</v>
      </c>
      <c r="E13" s="1">
        <v>0.26</v>
      </c>
      <c r="F13" s="1">
        <v>16</v>
      </c>
      <c r="G13" s="1">
        <v>0.2</v>
      </c>
      <c r="J13" s="1">
        <v>6</v>
      </c>
      <c r="K13" s="1">
        <v>2.5</v>
      </c>
      <c r="L13" s="1">
        <v>0.45</v>
      </c>
      <c r="M13" s="1">
        <v>5</v>
      </c>
      <c r="N13" s="1">
        <v>0.32</v>
      </c>
      <c r="O13" s="1">
        <v>8</v>
      </c>
      <c r="P13" s="1">
        <v>0.25</v>
      </c>
      <c r="R13" s="1">
        <v>6</v>
      </c>
      <c r="S13" s="23"/>
      <c r="T13" s="23"/>
      <c r="U13" s="15">
        <v>0.2</v>
      </c>
      <c r="V13" s="15">
        <v>0.35</v>
      </c>
      <c r="W13" s="15">
        <v>0.2</v>
      </c>
      <c r="X13" s="15">
        <v>0.3</v>
      </c>
      <c r="Z13" s="21">
        <v>6</v>
      </c>
      <c r="AA13" s="24"/>
      <c r="AB13" s="24"/>
      <c r="AC13" s="24"/>
      <c r="AD13" s="24"/>
      <c r="AE13" s="24"/>
      <c r="AF13" s="24"/>
      <c r="AH13" s="1">
        <v>6</v>
      </c>
      <c r="AI13" s="25">
        <v>0.4</v>
      </c>
      <c r="AJ13" s="25">
        <v>0.5</v>
      </c>
      <c r="AK13" s="25">
        <v>0.6</v>
      </c>
      <c r="AL13" s="25">
        <v>0.35</v>
      </c>
      <c r="AM13" s="25">
        <v>0.7</v>
      </c>
      <c r="AN13" s="25">
        <v>0.28000000000000003</v>
      </c>
      <c r="AP13" s="21">
        <v>6</v>
      </c>
      <c r="AQ13" s="15">
        <v>0.2</v>
      </c>
      <c r="AR13" s="15">
        <v>0.62</v>
      </c>
      <c r="AS13" s="15">
        <v>0.3</v>
      </c>
      <c r="AT13" s="15">
        <v>0.43</v>
      </c>
      <c r="AU13" s="15">
        <v>0.3</v>
      </c>
      <c r="AV13" s="15">
        <v>0.36</v>
      </c>
      <c r="AX13" s="1">
        <v>6</v>
      </c>
      <c r="AY13" s="15">
        <v>1</v>
      </c>
      <c r="AZ13" s="15">
        <v>0.5</v>
      </c>
      <c r="BA13" s="15">
        <v>1.5</v>
      </c>
      <c r="BB13" s="15">
        <v>0.35</v>
      </c>
      <c r="BC13" s="15">
        <v>1.9</v>
      </c>
      <c r="BD13" s="15">
        <v>0.27</v>
      </c>
      <c r="BF13" s="21">
        <v>6</v>
      </c>
      <c r="BG13" s="25">
        <v>0.5</v>
      </c>
      <c r="BH13" s="25">
        <v>0.62</v>
      </c>
      <c r="BI13" s="25">
        <v>0.7</v>
      </c>
      <c r="BJ13" s="25">
        <v>0.44</v>
      </c>
      <c r="BK13" s="25">
        <v>0.9</v>
      </c>
      <c r="BL13" s="25">
        <v>0.34</v>
      </c>
      <c r="BN13" s="1">
        <v>6</v>
      </c>
      <c r="BO13" s="15">
        <v>2.4</v>
      </c>
      <c r="BP13" s="15">
        <v>0.49</v>
      </c>
      <c r="BQ13" s="15">
        <v>3.5</v>
      </c>
      <c r="BR13" s="15">
        <v>0.34</v>
      </c>
      <c r="BS13" s="15">
        <v>4.4000000000000004</v>
      </c>
      <c r="BT13" s="15">
        <v>0.27</v>
      </c>
      <c r="BV13" s="21">
        <v>6</v>
      </c>
      <c r="BW13" s="25">
        <v>1.2</v>
      </c>
      <c r="BX13" s="25">
        <v>0.61</v>
      </c>
      <c r="BY13" s="25">
        <v>1.7</v>
      </c>
      <c r="BZ13" s="25">
        <v>0.43</v>
      </c>
      <c r="CA13" s="25">
        <v>2.1</v>
      </c>
      <c r="CB13" s="25">
        <v>0.34</v>
      </c>
    </row>
    <row r="14" spans="1:80" ht="16.5" customHeight="1" x14ac:dyDescent="0.3">
      <c r="A14" s="1">
        <v>7</v>
      </c>
      <c r="B14" s="1">
        <v>4</v>
      </c>
      <c r="C14" s="1">
        <v>0.42</v>
      </c>
      <c r="D14" s="1">
        <v>7</v>
      </c>
      <c r="E14" s="1">
        <v>0.3</v>
      </c>
      <c r="F14" s="1">
        <v>12</v>
      </c>
      <c r="G14" s="1">
        <v>0.23</v>
      </c>
      <c r="J14" s="1">
        <v>7</v>
      </c>
      <c r="K14" s="1">
        <v>1.8</v>
      </c>
      <c r="L14" s="1">
        <v>0.53</v>
      </c>
      <c r="M14" s="1">
        <v>3.5</v>
      </c>
      <c r="N14" s="1">
        <v>0.37</v>
      </c>
      <c r="O14" s="1">
        <v>6</v>
      </c>
      <c r="P14" s="1">
        <v>0.28999999999999998</v>
      </c>
      <c r="R14" s="1">
        <v>7</v>
      </c>
      <c r="S14" s="23"/>
      <c r="T14" s="23"/>
      <c r="U14" s="24"/>
      <c r="V14" s="24"/>
      <c r="W14" s="15">
        <v>0.2</v>
      </c>
      <c r="X14" s="15">
        <v>0.33</v>
      </c>
      <c r="Z14" s="21">
        <v>7</v>
      </c>
      <c r="AA14" s="24"/>
      <c r="AB14" s="24"/>
      <c r="AC14" s="24"/>
      <c r="AD14" s="24"/>
      <c r="AE14" s="24"/>
      <c r="AF14" s="24"/>
      <c r="AH14" s="1">
        <v>7</v>
      </c>
      <c r="AI14" s="25">
        <v>0.3</v>
      </c>
      <c r="AJ14" s="25">
        <v>0.6</v>
      </c>
      <c r="AK14" s="25">
        <v>0.5</v>
      </c>
      <c r="AL14" s="25">
        <v>0.4</v>
      </c>
      <c r="AM14" s="25">
        <v>0.6</v>
      </c>
      <c r="AN14" s="25">
        <v>0.32</v>
      </c>
      <c r="AP14" s="21">
        <v>7</v>
      </c>
      <c r="AQ14" s="23"/>
      <c r="AR14" s="23"/>
      <c r="AS14" s="15">
        <v>0.2</v>
      </c>
      <c r="AT14" s="15">
        <v>0.53</v>
      </c>
      <c r="AU14" s="15">
        <v>0.3</v>
      </c>
      <c r="AV14" s="15">
        <v>0.39</v>
      </c>
      <c r="AX14" s="1">
        <v>7</v>
      </c>
      <c r="AY14" s="15">
        <v>0.9</v>
      </c>
      <c r="AZ14" s="15">
        <v>0.56999999999999995</v>
      </c>
      <c r="BA14" s="15">
        <v>1.3</v>
      </c>
      <c r="BB14" s="15">
        <v>0.4</v>
      </c>
      <c r="BC14" s="15">
        <v>1.7</v>
      </c>
      <c r="BD14" s="15">
        <v>0.31</v>
      </c>
      <c r="BF14" s="21">
        <v>7</v>
      </c>
      <c r="BG14" s="25">
        <v>0.4</v>
      </c>
      <c r="BH14" s="25">
        <v>0.73</v>
      </c>
      <c r="BI14" s="25">
        <v>0.6</v>
      </c>
      <c r="BJ14" s="25">
        <v>0.5</v>
      </c>
      <c r="BK14" s="25">
        <v>0.8</v>
      </c>
      <c r="BL14" s="25">
        <v>0.39</v>
      </c>
      <c r="BN14" s="1">
        <v>7</v>
      </c>
      <c r="BO14" s="15">
        <v>2.1</v>
      </c>
      <c r="BP14" s="15">
        <v>0.56000000000000005</v>
      </c>
      <c r="BQ14" s="15">
        <v>3</v>
      </c>
      <c r="BR14" s="15">
        <v>0.4</v>
      </c>
      <c r="BS14" s="15">
        <v>3.8</v>
      </c>
      <c r="BT14" s="15">
        <v>0.31</v>
      </c>
      <c r="BV14" s="21">
        <v>7</v>
      </c>
      <c r="BW14" s="25">
        <v>1</v>
      </c>
      <c r="BX14" s="25">
        <v>0.71</v>
      </c>
      <c r="BY14" s="25">
        <v>1.4</v>
      </c>
      <c r="BZ14" s="25">
        <v>0.5</v>
      </c>
      <c r="CA14" s="25">
        <v>1.8</v>
      </c>
      <c r="CB14" s="25">
        <v>0.39</v>
      </c>
    </row>
    <row r="15" spans="1:80" ht="16.5" customHeight="1" x14ac:dyDescent="0.3">
      <c r="A15" s="1">
        <v>8</v>
      </c>
      <c r="B15" s="1">
        <v>3</v>
      </c>
      <c r="C15" s="1">
        <v>0.48</v>
      </c>
      <c r="D15" s="1">
        <v>6</v>
      </c>
      <c r="E15" s="1">
        <v>0.33</v>
      </c>
      <c r="F15" s="1">
        <v>10</v>
      </c>
      <c r="G15" s="1">
        <v>0.26</v>
      </c>
      <c r="J15" s="1">
        <v>8</v>
      </c>
      <c r="K15" s="1">
        <v>1.5</v>
      </c>
      <c r="L15" s="1">
        <v>0.59</v>
      </c>
      <c r="M15" s="1">
        <v>3</v>
      </c>
      <c r="N15" s="1">
        <v>0.41</v>
      </c>
      <c r="O15" s="1">
        <v>5</v>
      </c>
      <c r="P15" s="1">
        <v>0.32</v>
      </c>
      <c r="R15" s="1">
        <v>8</v>
      </c>
      <c r="S15" s="23"/>
      <c r="T15" s="23"/>
      <c r="U15" s="24"/>
      <c r="V15" s="24"/>
      <c r="W15" s="15">
        <v>0.2</v>
      </c>
      <c r="X15" s="15">
        <v>0.35</v>
      </c>
      <c r="Z15" s="21">
        <v>8</v>
      </c>
      <c r="AA15" s="24"/>
      <c r="AB15" s="24"/>
      <c r="AC15" s="24"/>
      <c r="AD15" s="24"/>
      <c r="AE15" s="24"/>
      <c r="AF15" s="24"/>
      <c r="AH15" s="1">
        <v>8</v>
      </c>
      <c r="AI15" s="25">
        <v>0.3</v>
      </c>
      <c r="AJ15" s="25">
        <v>0.65</v>
      </c>
      <c r="AK15" s="25">
        <v>0.4</v>
      </c>
      <c r="AL15" s="25">
        <v>0.46</v>
      </c>
      <c r="AM15" s="25">
        <v>0.6</v>
      </c>
      <c r="AN15" s="25">
        <v>0.35</v>
      </c>
      <c r="AP15" s="21">
        <v>8</v>
      </c>
      <c r="AQ15" s="23"/>
      <c r="AR15" s="23"/>
      <c r="AS15" s="15">
        <v>0.2</v>
      </c>
      <c r="AT15" s="15">
        <v>0.56999999999999995</v>
      </c>
      <c r="AU15" s="15">
        <v>0.3</v>
      </c>
      <c r="AV15" s="15">
        <v>0.43</v>
      </c>
      <c r="AX15" s="1">
        <v>8</v>
      </c>
      <c r="AY15" s="15">
        <v>0.8</v>
      </c>
      <c r="AZ15" s="15">
        <v>0.64</v>
      </c>
      <c r="BA15" s="15">
        <v>1.2</v>
      </c>
      <c r="BB15" s="15">
        <v>0.44</v>
      </c>
      <c r="BC15" s="15">
        <v>1.5</v>
      </c>
      <c r="BD15" s="15">
        <v>0.35</v>
      </c>
      <c r="BF15" s="21">
        <v>8</v>
      </c>
      <c r="BG15" s="25">
        <v>0.4</v>
      </c>
      <c r="BH15" s="25">
        <v>0.79</v>
      </c>
      <c r="BI15" s="25">
        <v>0.5</v>
      </c>
      <c r="BJ15" s="25">
        <v>0.57999999999999996</v>
      </c>
      <c r="BK15" s="25">
        <v>0.7</v>
      </c>
      <c r="BL15" s="25">
        <v>0.44</v>
      </c>
      <c r="BN15" s="1">
        <v>8</v>
      </c>
      <c r="BO15" s="15">
        <v>1.9</v>
      </c>
      <c r="BP15" s="15">
        <v>0.63</v>
      </c>
      <c r="BQ15" s="15">
        <v>2.7</v>
      </c>
      <c r="BR15" s="15">
        <v>0.44</v>
      </c>
      <c r="BS15" s="15">
        <v>3.4</v>
      </c>
      <c r="BT15" s="15">
        <v>0.35</v>
      </c>
      <c r="BV15" s="21">
        <v>8</v>
      </c>
      <c r="BW15" s="25">
        <v>0.9</v>
      </c>
      <c r="BX15" s="25">
        <v>0.79</v>
      </c>
      <c r="BY15" s="25">
        <v>1.3</v>
      </c>
      <c r="BZ15" s="25">
        <v>0.55000000000000004</v>
      </c>
      <c r="CA15" s="25">
        <v>1.6</v>
      </c>
      <c r="CB15" s="25">
        <v>0.44</v>
      </c>
    </row>
    <row r="16" spans="1:80" ht="16.5" customHeight="1" x14ac:dyDescent="0.3">
      <c r="A16" s="1">
        <v>9</v>
      </c>
      <c r="B16" s="1">
        <v>2.5</v>
      </c>
      <c r="C16" s="1">
        <v>0.53</v>
      </c>
      <c r="D16" s="1">
        <v>5</v>
      </c>
      <c r="E16" s="1">
        <v>0.37</v>
      </c>
      <c r="F16" s="1">
        <v>8</v>
      </c>
      <c r="G16" s="1">
        <v>0.28999999999999998</v>
      </c>
      <c r="J16" s="1">
        <v>9</v>
      </c>
      <c r="K16" s="1">
        <v>1.3</v>
      </c>
      <c r="L16" s="1">
        <v>0.65</v>
      </c>
      <c r="M16" s="1">
        <v>2.5</v>
      </c>
      <c r="N16" s="1">
        <v>0.45</v>
      </c>
      <c r="O16" s="1">
        <v>4</v>
      </c>
      <c r="P16" s="1">
        <v>0.35</v>
      </c>
      <c r="R16" s="1">
        <v>9</v>
      </c>
      <c r="S16" s="23"/>
      <c r="T16" s="23"/>
      <c r="U16" s="24"/>
      <c r="V16" s="24"/>
      <c r="W16" s="15">
        <v>0.2</v>
      </c>
      <c r="X16" s="15">
        <v>0.38</v>
      </c>
      <c r="Z16" s="1">
        <v>9</v>
      </c>
      <c r="AA16" s="24"/>
      <c r="AB16" s="24"/>
      <c r="AC16" s="24"/>
      <c r="AD16" s="24"/>
      <c r="AE16" s="24"/>
      <c r="AF16" s="24"/>
      <c r="AH16" s="1">
        <v>9</v>
      </c>
      <c r="AI16" s="25">
        <v>0.3</v>
      </c>
      <c r="AJ16" s="25">
        <v>0.7</v>
      </c>
      <c r="AK16" s="25">
        <v>0.4</v>
      </c>
      <c r="AL16" s="25">
        <v>0.5</v>
      </c>
      <c r="AM16" s="25">
        <v>0.5</v>
      </c>
      <c r="AN16" s="25">
        <v>0.39</v>
      </c>
      <c r="AP16" s="1">
        <v>9</v>
      </c>
      <c r="AQ16" s="23"/>
      <c r="AR16" s="23"/>
      <c r="AS16" s="15">
        <v>0.2</v>
      </c>
      <c r="AT16" s="15">
        <v>0.61</v>
      </c>
      <c r="AU16" s="15">
        <v>0.2</v>
      </c>
      <c r="AV16" s="15">
        <v>0.52</v>
      </c>
      <c r="AX16" s="1">
        <v>9</v>
      </c>
      <c r="AY16" s="15">
        <v>0.7</v>
      </c>
      <c r="AZ16" s="15">
        <v>0.72</v>
      </c>
      <c r="BA16" s="15">
        <v>1</v>
      </c>
      <c r="BB16" s="15">
        <v>0.5</v>
      </c>
      <c r="BC16" s="15">
        <v>1.4</v>
      </c>
      <c r="BD16" s="15">
        <v>0.38</v>
      </c>
      <c r="BF16" s="1">
        <v>9</v>
      </c>
      <c r="BG16" s="25">
        <v>0.3</v>
      </c>
      <c r="BH16" s="25">
        <v>0.93</v>
      </c>
      <c r="BI16" s="25">
        <v>0.5</v>
      </c>
      <c r="BJ16" s="25">
        <v>0.62</v>
      </c>
      <c r="BK16" s="25">
        <v>0.6</v>
      </c>
      <c r="BL16" s="25">
        <v>0.49</v>
      </c>
      <c r="BN16" s="1">
        <v>9</v>
      </c>
      <c r="BO16" s="15">
        <v>1.7</v>
      </c>
      <c r="BP16" s="15">
        <v>0.7</v>
      </c>
      <c r="BQ16" s="15">
        <v>2.4</v>
      </c>
      <c r="BR16" s="15">
        <v>0.49</v>
      </c>
      <c r="BS16" s="15">
        <v>3.1</v>
      </c>
      <c r="BT16" s="15">
        <v>0.38</v>
      </c>
      <c r="BV16" s="1">
        <v>9</v>
      </c>
      <c r="BW16" s="25">
        <v>0.8</v>
      </c>
      <c r="BX16" s="25">
        <v>0.88</v>
      </c>
      <c r="BY16" s="25">
        <v>1.2</v>
      </c>
      <c r="BZ16" s="25">
        <v>0.61</v>
      </c>
      <c r="CA16" s="25">
        <v>1.5</v>
      </c>
      <c r="CB16" s="25">
        <v>0.48</v>
      </c>
    </row>
    <row r="17" spans="1:80" ht="16.5" customHeight="1" x14ac:dyDescent="0.3">
      <c r="A17" s="1">
        <v>10</v>
      </c>
      <c r="B17" s="1">
        <v>2</v>
      </c>
      <c r="C17" s="1">
        <v>0.59</v>
      </c>
      <c r="D17" s="1">
        <v>4</v>
      </c>
      <c r="E17" s="1">
        <v>0.41</v>
      </c>
      <c r="F17" s="1">
        <v>6.5</v>
      </c>
      <c r="G17" s="1">
        <v>0.32</v>
      </c>
      <c r="J17" s="1">
        <v>10</v>
      </c>
      <c r="K17" s="1">
        <v>1.1000000000000001</v>
      </c>
      <c r="L17" s="16">
        <v>0.71</v>
      </c>
      <c r="M17" s="1">
        <v>2</v>
      </c>
      <c r="N17" s="1">
        <v>0.5</v>
      </c>
      <c r="O17" s="1">
        <v>3.4</v>
      </c>
      <c r="P17" s="1">
        <v>0.38</v>
      </c>
      <c r="R17" s="1">
        <v>10</v>
      </c>
      <c r="S17" s="23"/>
      <c r="T17" s="23"/>
      <c r="U17" s="24"/>
      <c r="V17" s="24"/>
      <c r="W17" s="24"/>
      <c r="X17" s="24"/>
      <c r="Z17" s="1">
        <v>10</v>
      </c>
      <c r="AA17" s="24"/>
      <c r="AB17" s="24"/>
      <c r="AC17" s="24"/>
      <c r="AD17" s="24"/>
      <c r="AE17" s="24"/>
      <c r="AF17" s="24"/>
      <c r="AH17" s="1">
        <v>10</v>
      </c>
      <c r="AI17" s="25">
        <v>0.2</v>
      </c>
      <c r="AJ17" s="25">
        <v>0.84</v>
      </c>
      <c r="AK17" s="25">
        <v>0.3</v>
      </c>
      <c r="AL17" s="25">
        <v>0.57999999999999996</v>
      </c>
      <c r="AM17" s="25">
        <v>0.4</v>
      </c>
      <c r="AN17" s="25">
        <v>0.45</v>
      </c>
      <c r="AP17" s="1">
        <v>10</v>
      </c>
      <c r="AQ17" s="23"/>
      <c r="AR17" s="23"/>
      <c r="AS17" s="23"/>
      <c r="AT17" s="23"/>
      <c r="AU17" s="15">
        <v>0.2</v>
      </c>
      <c r="AV17" s="15">
        <v>0.55000000000000004</v>
      </c>
      <c r="AX17" s="1">
        <v>10</v>
      </c>
      <c r="AY17" s="15">
        <v>0.7</v>
      </c>
      <c r="AZ17" s="15">
        <v>0.76</v>
      </c>
      <c r="BA17" s="15">
        <v>0.9</v>
      </c>
      <c r="BB17" s="15">
        <v>0.55000000000000004</v>
      </c>
      <c r="BC17" s="15">
        <v>1.2</v>
      </c>
      <c r="BD17" s="15">
        <v>0.43</v>
      </c>
      <c r="BF17" s="1">
        <v>10</v>
      </c>
      <c r="BG17" s="25">
        <v>0.3</v>
      </c>
      <c r="BH17" s="25">
        <v>0.99</v>
      </c>
      <c r="BI17" s="25">
        <v>0.4</v>
      </c>
      <c r="BJ17" s="25">
        <v>0.7</v>
      </c>
      <c r="BK17" s="25">
        <v>0.6</v>
      </c>
      <c r="BL17" s="25">
        <v>0.52</v>
      </c>
      <c r="BN17" s="1">
        <v>10</v>
      </c>
      <c r="BO17" s="15">
        <v>1.5</v>
      </c>
      <c r="BP17" s="15">
        <v>0.77</v>
      </c>
      <c r="BQ17" s="15">
        <v>2.2000000000000002</v>
      </c>
      <c r="BR17" s="15">
        <v>0.54</v>
      </c>
      <c r="BS17" s="15">
        <v>2.8</v>
      </c>
      <c r="BT17" s="15">
        <v>0.42</v>
      </c>
      <c r="BV17" s="1">
        <v>10</v>
      </c>
      <c r="BW17" s="25">
        <v>0.7</v>
      </c>
      <c r="BX17" s="25">
        <v>0.98</v>
      </c>
      <c r="BY17" s="25">
        <v>1</v>
      </c>
      <c r="BZ17" s="25">
        <v>0.68</v>
      </c>
      <c r="CA17" s="25">
        <v>1.3</v>
      </c>
      <c r="CB17" s="25">
        <v>0.53</v>
      </c>
    </row>
    <row r="18" spans="1:80" x14ac:dyDescent="0.3">
      <c r="A18" s="1">
        <v>11</v>
      </c>
      <c r="B18" s="1">
        <v>2</v>
      </c>
      <c r="C18" s="1">
        <v>0.61</v>
      </c>
      <c r="D18" s="1">
        <v>3.5</v>
      </c>
      <c r="E18" s="1">
        <v>0.44</v>
      </c>
      <c r="F18" s="1">
        <v>5.5</v>
      </c>
      <c r="G18" s="1">
        <v>0.34</v>
      </c>
      <c r="J18" s="1">
        <v>11</v>
      </c>
      <c r="K18" s="1">
        <v>0.9</v>
      </c>
      <c r="L18" s="16">
        <v>0.78</v>
      </c>
      <c r="M18" s="1">
        <v>1.8</v>
      </c>
      <c r="N18" s="1">
        <v>0.54</v>
      </c>
      <c r="O18" s="1">
        <v>2.8</v>
      </c>
      <c r="P18" s="1">
        <v>0.42</v>
      </c>
      <c r="R18" s="1">
        <v>11</v>
      </c>
      <c r="S18" s="23"/>
      <c r="T18" s="23"/>
      <c r="U18" s="24"/>
      <c r="V18" s="24"/>
      <c r="W18" s="24"/>
      <c r="X18" s="24"/>
      <c r="Z18" s="1">
        <v>11</v>
      </c>
      <c r="AA18" s="24"/>
      <c r="AB18" s="24"/>
      <c r="AC18" s="24"/>
      <c r="AD18" s="24"/>
      <c r="AE18" s="24"/>
      <c r="AF18" s="24"/>
      <c r="AH18" s="1">
        <v>11</v>
      </c>
      <c r="AI18" s="25">
        <v>0.2</v>
      </c>
      <c r="AJ18" s="25">
        <v>0.89</v>
      </c>
      <c r="AK18" s="25">
        <v>0.3</v>
      </c>
      <c r="AL18" s="25">
        <v>0.61</v>
      </c>
      <c r="AM18" s="25">
        <v>0.4</v>
      </c>
      <c r="AN18" s="25">
        <v>0.47</v>
      </c>
      <c r="AP18" s="1">
        <v>11</v>
      </c>
      <c r="AQ18" s="23"/>
      <c r="AR18" s="23"/>
      <c r="AS18" s="23"/>
      <c r="AT18" s="23"/>
      <c r="AU18" s="15">
        <v>0.2</v>
      </c>
      <c r="AV18" s="15">
        <v>0.57999999999999996</v>
      </c>
      <c r="AX18" s="1">
        <v>11</v>
      </c>
      <c r="AY18" s="15">
        <v>0.6</v>
      </c>
      <c r="AZ18" s="15">
        <v>0.85</v>
      </c>
      <c r="BA18" s="15">
        <v>0.9</v>
      </c>
      <c r="BB18" s="15">
        <v>0.57999999999999996</v>
      </c>
      <c r="BC18" s="15">
        <v>1.1000000000000001</v>
      </c>
      <c r="BD18" s="15">
        <v>0.46</v>
      </c>
      <c r="BF18" s="1">
        <v>11</v>
      </c>
      <c r="BG18" s="25">
        <v>0.3</v>
      </c>
      <c r="BH18" s="25">
        <v>1.05</v>
      </c>
      <c r="BI18" s="25">
        <v>0.4</v>
      </c>
      <c r="BJ18" s="25">
        <v>0.75</v>
      </c>
      <c r="BK18" s="25">
        <v>0.5</v>
      </c>
      <c r="BL18" s="25">
        <v>0.59</v>
      </c>
      <c r="BN18" s="1">
        <v>11</v>
      </c>
      <c r="BO18" s="15">
        <v>1.4</v>
      </c>
      <c r="BP18" s="15">
        <v>0.84</v>
      </c>
      <c r="BQ18" s="15">
        <v>2</v>
      </c>
      <c r="BR18" s="15">
        <v>0.59</v>
      </c>
      <c r="BS18" s="15">
        <v>2.6</v>
      </c>
      <c r="BT18" s="15">
        <v>0.46</v>
      </c>
      <c r="BV18" s="1">
        <v>11</v>
      </c>
      <c r="BW18" s="25">
        <v>0.7</v>
      </c>
      <c r="BX18" s="25">
        <v>1.04</v>
      </c>
      <c r="BY18" s="25">
        <v>1</v>
      </c>
      <c r="BZ18" s="25">
        <v>0.72</v>
      </c>
      <c r="CA18" s="25">
        <v>1.2</v>
      </c>
      <c r="CB18" s="25">
        <v>0.56999999999999995</v>
      </c>
    </row>
    <row r="19" spans="1:80" x14ac:dyDescent="0.3">
      <c r="A19" s="1">
        <v>12</v>
      </c>
      <c r="B19" s="1">
        <v>1.7</v>
      </c>
      <c r="C19" s="1">
        <v>0.67</v>
      </c>
      <c r="D19" s="1">
        <v>3</v>
      </c>
      <c r="E19" s="1">
        <v>0.48</v>
      </c>
      <c r="F19" s="1">
        <v>5</v>
      </c>
      <c r="G19" s="1">
        <v>0.37</v>
      </c>
      <c r="J19" s="1">
        <v>12</v>
      </c>
      <c r="K19" s="1">
        <v>0.8</v>
      </c>
      <c r="L19" s="16">
        <v>0.84</v>
      </c>
      <c r="M19" s="1">
        <v>1.5</v>
      </c>
      <c r="N19" s="1">
        <v>0.59</v>
      </c>
      <c r="O19" s="1">
        <v>2.5</v>
      </c>
      <c r="P19" s="1">
        <v>0.45</v>
      </c>
      <c r="R19" s="1">
        <v>12</v>
      </c>
      <c r="S19" s="23"/>
      <c r="T19" s="23"/>
      <c r="U19" s="24"/>
      <c r="V19" s="24"/>
      <c r="W19" s="24"/>
      <c r="X19" s="24"/>
      <c r="Z19" s="1">
        <v>12</v>
      </c>
      <c r="AA19" s="24"/>
      <c r="AB19" s="24"/>
      <c r="AC19" s="24"/>
      <c r="AD19" s="24"/>
      <c r="AE19" s="24"/>
      <c r="AF19" s="24"/>
      <c r="AH19" s="1">
        <v>12</v>
      </c>
      <c r="AI19" s="25">
        <v>0.2</v>
      </c>
      <c r="AJ19" s="25">
        <v>0.94</v>
      </c>
      <c r="AK19" s="25">
        <v>0.3</v>
      </c>
      <c r="AL19" s="25">
        <v>0.65</v>
      </c>
      <c r="AM19" s="25">
        <v>0.4</v>
      </c>
      <c r="AN19" s="25">
        <v>0.5</v>
      </c>
      <c r="AP19" s="1">
        <v>12</v>
      </c>
      <c r="AQ19" s="23"/>
      <c r="AR19" s="23"/>
      <c r="AS19" s="23"/>
      <c r="AT19" s="23"/>
      <c r="AU19" s="15">
        <v>0.2</v>
      </c>
      <c r="AV19" s="15">
        <v>0.61</v>
      </c>
      <c r="AX19" s="1">
        <v>12</v>
      </c>
      <c r="AY19" s="15">
        <v>0.6</v>
      </c>
      <c r="AZ19" s="15">
        <v>0.89</v>
      </c>
      <c r="BA19" s="15">
        <v>0.8</v>
      </c>
      <c r="BB19" s="15">
        <v>0.64</v>
      </c>
      <c r="BC19" s="15">
        <v>1</v>
      </c>
      <c r="BD19" s="15">
        <v>0.5</v>
      </c>
      <c r="BF19" s="1">
        <v>12</v>
      </c>
      <c r="BG19" s="25">
        <v>0.2</v>
      </c>
      <c r="BH19" s="25">
        <v>1.25</v>
      </c>
      <c r="BI19" s="25">
        <v>0.4</v>
      </c>
      <c r="BJ19" s="25">
        <v>0.79</v>
      </c>
      <c r="BK19" s="25">
        <v>0.5</v>
      </c>
      <c r="BL19" s="25">
        <v>0.62</v>
      </c>
      <c r="BN19" s="1">
        <v>12</v>
      </c>
      <c r="BO19" s="15">
        <v>1.3</v>
      </c>
      <c r="BP19" s="15">
        <v>0.9</v>
      </c>
      <c r="BQ19" s="15">
        <v>1.9</v>
      </c>
      <c r="BR19" s="15">
        <v>0.63</v>
      </c>
      <c r="BS19" s="15">
        <v>2.4</v>
      </c>
      <c r="BT19" s="15">
        <v>0.49</v>
      </c>
      <c r="BV19" s="1">
        <v>12</v>
      </c>
      <c r="BW19" s="25">
        <v>0.6</v>
      </c>
      <c r="BX19" s="25">
        <v>1.1499999999999999</v>
      </c>
      <c r="BY19" s="25">
        <v>0.9</v>
      </c>
      <c r="BZ19" s="25">
        <v>0.79</v>
      </c>
      <c r="CA19" s="25">
        <v>1.2</v>
      </c>
      <c r="CB19" s="25">
        <v>0.61</v>
      </c>
    </row>
    <row r="20" spans="1:80" x14ac:dyDescent="0.3">
      <c r="A20" s="1">
        <v>13</v>
      </c>
      <c r="B20" s="1">
        <v>1.5</v>
      </c>
      <c r="C20" s="1">
        <v>0.72</v>
      </c>
      <c r="D20" s="1">
        <v>2.7</v>
      </c>
      <c r="E20" s="1">
        <v>0.51</v>
      </c>
      <c r="F20" s="1">
        <v>4.5</v>
      </c>
      <c r="G20" s="1">
        <v>0.39</v>
      </c>
      <c r="J20" s="1">
        <v>13</v>
      </c>
      <c r="K20" s="1">
        <v>0.7</v>
      </c>
      <c r="L20" s="16">
        <v>0.91</v>
      </c>
      <c r="M20" s="1">
        <v>1.4</v>
      </c>
      <c r="N20" s="1">
        <v>0.62</v>
      </c>
      <c r="O20" s="1">
        <v>2</v>
      </c>
      <c r="P20" s="1">
        <v>0.5</v>
      </c>
      <c r="R20" s="1">
        <v>13</v>
      </c>
      <c r="S20" s="23"/>
      <c r="T20" s="23"/>
      <c r="U20" s="24"/>
      <c r="V20" s="24"/>
      <c r="W20" s="24"/>
      <c r="X20" s="24"/>
      <c r="Z20" s="1">
        <v>13</v>
      </c>
      <c r="AA20" s="24"/>
      <c r="AB20" s="24"/>
      <c r="AC20" s="24"/>
      <c r="AD20" s="24"/>
      <c r="AE20" s="24"/>
      <c r="AF20" s="24"/>
      <c r="AH20" s="1">
        <v>13</v>
      </c>
      <c r="AI20" s="25">
        <v>0.2</v>
      </c>
      <c r="AJ20" s="25">
        <v>0.99</v>
      </c>
      <c r="AK20" s="25">
        <v>0.3</v>
      </c>
      <c r="AL20" s="25">
        <v>0.68</v>
      </c>
      <c r="AM20" s="25">
        <v>0.4</v>
      </c>
      <c r="AN20" s="25">
        <v>0.52</v>
      </c>
      <c r="AP20" s="1">
        <v>13</v>
      </c>
      <c r="AQ20" s="24"/>
      <c r="AR20" s="24"/>
      <c r="AS20" s="23"/>
      <c r="AT20" s="23"/>
      <c r="AU20" s="23"/>
      <c r="AV20" s="23"/>
      <c r="AX20" s="1">
        <v>13</v>
      </c>
      <c r="AY20" s="15">
        <v>0.5</v>
      </c>
      <c r="AZ20" s="15">
        <v>0.99</v>
      </c>
      <c r="BA20" s="15">
        <v>0.8</v>
      </c>
      <c r="BB20" s="15">
        <v>0.67</v>
      </c>
      <c r="BC20" s="15">
        <v>1</v>
      </c>
      <c r="BD20" s="15">
        <v>0.53</v>
      </c>
      <c r="BF20" s="1">
        <v>13</v>
      </c>
      <c r="BG20" s="25">
        <v>0.2</v>
      </c>
      <c r="BH20" s="25">
        <v>1.32</v>
      </c>
      <c r="BI20" s="25">
        <v>0.3</v>
      </c>
      <c r="BJ20" s="25">
        <v>0.9</v>
      </c>
      <c r="BK20" s="25">
        <v>0.5</v>
      </c>
      <c r="BL20" s="25">
        <v>0.65</v>
      </c>
      <c r="BN20" s="1">
        <v>13</v>
      </c>
      <c r="BO20" s="15">
        <v>1.2</v>
      </c>
      <c r="BP20" s="15">
        <v>0.97</v>
      </c>
      <c r="BQ20" s="15">
        <v>1.8</v>
      </c>
      <c r="BR20" s="15">
        <v>0.67</v>
      </c>
      <c r="BS20" s="15">
        <v>2.2000000000000002</v>
      </c>
      <c r="BT20" s="15">
        <v>0.53</v>
      </c>
      <c r="BV20" s="1">
        <v>13</v>
      </c>
      <c r="BW20" s="25">
        <v>0.6</v>
      </c>
      <c r="BX20" s="25">
        <v>1.2</v>
      </c>
      <c r="BY20" s="25">
        <v>0.8</v>
      </c>
      <c r="BZ20" s="25">
        <v>0.86</v>
      </c>
      <c r="CA20" s="25">
        <v>1.1000000000000001</v>
      </c>
      <c r="CB20" s="25">
        <v>0.65</v>
      </c>
    </row>
    <row r="21" spans="1:80" x14ac:dyDescent="0.3">
      <c r="A21" s="1">
        <v>14</v>
      </c>
      <c r="B21" s="1">
        <v>1.4</v>
      </c>
      <c r="C21" s="1">
        <v>0.76</v>
      </c>
      <c r="D21" s="1">
        <v>2.5</v>
      </c>
      <c r="E21" s="1">
        <v>0.54</v>
      </c>
      <c r="F21" s="1">
        <v>4</v>
      </c>
      <c r="G21" s="1">
        <v>0.42</v>
      </c>
      <c r="J21" s="1">
        <v>14</v>
      </c>
      <c r="K21" s="1">
        <v>0.6</v>
      </c>
      <c r="L21" s="16">
        <v>0.98</v>
      </c>
      <c r="M21" s="1">
        <v>1.2</v>
      </c>
      <c r="N21" s="1">
        <v>0.67</v>
      </c>
      <c r="O21" s="1">
        <v>1.8</v>
      </c>
      <c r="P21" s="1">
        <v>0.53</v>
      </c>
      <c r="R21" s="1">
        <v>14</v>
      </c>
      <c r="S21" s="23"/>
      <c r="T21" s="23"/>
      <c r="U21" s="24"/>
      <c r="V21" s="24"/>
      <c r="W21" s="24"/>
      <c r="X21" s="24"/>
      <c r="Z21" s="1">
        <v>14</v>
      </c>
      <c r="AA21" s="24"/>
      <c r="AB21" s="24"/>
      <c r="AC21" s="24"/>
      <c r="AD21" s="24"/>
      <c r="AE21" s="24"/>
      <c r="AF21" s="24"/>
      <c r="AH21" s="1">
        <v>14</v>
      </c>
      <c r="AI21" s="25">
        <v>0.2</v>
      </c>
      <c r="AJ21" s="25">
        <v>1.03</v>
      </c>
      <c r="AK21" s="25">
        <v>0.2</v>
      </c>
      <c r="AL21" s="25">
        <v>0.8</v>
      </c>
      <c r="AM21" s="25">
        <v>0.3</v>
      </c>
      <c r="AN21" s="25">
        <v>0.6</v>
      </c>
      <c r="AP21" s="1">
        <v>14</v>
      </c>
      <c r="AQ21" s="24"/>
      <c r="AR21" s="24"/>
      <c r="AS21" s="23"/>
      <c r="AT21" s="23"/>
      <c r="AU21" s="23"/>
      <c r="AV21" s="23"/>
      <c r="AX21" s="1">
        <v>14</v>
      </c>
      <c r="AY21" s="15">
        <v>0.5</v>
      </c>
      <c r="AZ21" s="15">
        <v>1.04</v>
      </c>
      <c r="BA21" s="15">
        <v>0.7</v>
      </c>
      <c r="BB21" s="15">
        <v>0.73</v>
      </c>
      <c r="BC21" s="15">
        <v>0.9</v>
      </c>
      <c r="BD21" s="15">
        <v>0.56999999999999995</v>
      </c>
      <c r="BF21" s="1">
        <v>14</v>
      </c>
      <c r="BG21" s="25">
        <v>0.2</v>
      </c>
      <c r="BH21" s="25">
        <v>1.38</v>
      </c>
      <c r="BI21" s="25">
        <v>0.3</v>
      </c>
      <c r="BJ21" s="25">
        <v>0.94</v>
      </c>
      <c r="BK21" s="25">
        <v>0.4</v>
      </c>
      <c r="BL21" s="25">
        <v>0.72</v>
      </c>
      <c r="BN21" s="1">
        <v>14</v>
      </c>
      <c r="BO21" s="15">
        <v>1.1000000000000001</v>
      </c>
      <c r="BP21" s="15">
        <v>1.05</v>
      </c>
      <c r="BQ21" s="15">
        <v>1.6</v>
      </c>
      <c r="BR21" s="15">
        <v>0.73</v>
      </c>
      <c r="BS21" s="15">
        <v>2.1</v>
      </c>
      <c r="BT21" s="15">
        <v>0.56000000000000005</v>
      </c>
      <c r="BV21" s="1">
        <v>14</v>
      </c>
      <c r="BW21" s="25">
        <v>0.5</v>
      </c>
      <c r="BX21" s="25">
        <v>1.33</v>
      </c>
      <c r="BY21" s="25">
        <v>0.8</v>
      </c>
      <c r="BZ21" s="25">
        <v>0.89</v>
      </c>
      <c r="CA21" s="25">
        <v>1</v>
      </c>
      <c r="CB21" s="25">
        <v>0.7</v>
      </c>
    </row>
    <row r="22" spans="1:80" x14ac:dyDescent="0.3">
      <c r="A22" s="1">
        <v>15</v>
      </c>
      <c r="B22" s="1">
        <v>1.2</v>
      </c>
      <c r="C22" s="1">
        <v>0.82</v>
      </c>
      <c r="D22" s="1">
        <v>2.2000000000000002</v>
      </c>
      <c r="E22" s="1">
        <v>0.56999999999999995</v>
      </c>
      <c r="F22" s="1">
        <v>3.5</v>
      </c>
      <c r="G22" s="1">
        <v>0.44</v>
      </c>
      <c r="J22" s="1">
        <v>15</v>
      </c>
      <c r="K22" s="1">
        <v>0.5</v>
      </c>
      <c r="L22" s="16">
        <v>1.07</v>
      </c>
      <c r="M22" s="1">
        <v>1.1000000000000001</v>
      </c>
      <c r="N22" s="1">
        <v>0.71</v>
      </c>
      <c r="O22" s="1">
        <v>1.6</v>
      </c>
      <c r="P22" s="1">
        <v>0.56000000000000005</v>
      </c>
      <c r="R22" s="1">
        <v>15</v>
      </c>
      <c r="S22" s="23"/>
      <c r="T22" s="23"/>
      <c r="U22" s="24"/>
      <c r="V22" s="24"/>
      <c r="W22" s="24"/>
      <c r="X22" s="24"/>
      <c r="Z22" s="1">
        <v>15</v>
      </c>
      <c r="AA22" s="24"/>
      <c r="AB22" s="24"/>
      <c r="AC22" s="24"/>
      <c r="AD22" s="24"/>
      <c r="AE22" s="24"/>
      <c r="AF22" s="24"/>
      <c r="AH22" s="1">
        <v>15</v>
      </c>
      <c r="AI22" s="23"/>
      <c r="AJ22" s="23"/>
      <c r="AK22" s="25">
        <v>0.2</v>
      </c>
      <c r="AL22" s="25">
        <v>0.84</v>
      </c>
      <c r="AM22" s="25">
        <v>0.3</v>
      </c>
      <c r="AN22" s="25">
        <v>0.62</v>
      </c>
      <c r="AP22" s="1">
        <v>15</v>
      </c>
      <c r="AQ22" s="24"/>
      <c r="AR22" s="24"/>
      <c r="AS22" s="23"/>
      <c r="AT22" s="23"/>
      <c r="AU22" s="23"/>
      <c r="AV22" s="23"/>
      <c r="AX22" s="1">
        <v>15</v>
      </c>
      <c r="AY22" s="15">
        <v>0.4</v>
      </c>
      <c r="AZ22" s="15">
        <v>1.1599999999999999</v>
      </c>
      <c r="BA22" s="15">
        <v>0.7</v>
      </c>
      <c r="BB22" s="15">
        <v>0.76</v>
      </c>
      <c r="BC22" s="15">
        <v>0.9</v>
      </c>
      <c r="BD22" s="15">
        <v>0.59</v>
      </c>
      <c r="BF22" s="1">
        <v>15</v>
      </c>
      <c r="BG22" s="25">
        <v>0.2</v>
      </c>
      <c r="BH22" s="25">
        <v>1.44</v>
      </c>
      <c r="BI22" s="25">
        <v>0.3</v>
      </c>
      <c r="BJ22" s="25">
        <v>0.98</v>
      </c>
      <c r="BK22" s="25">
        <v>0.4</v>
      </c>
      <c r="BL22" s="25">
        <v>0.76</v>
      </c>
      <c r="BN22" s="1">
        <v>15</v>
      </c>
      <c r="BO22" s="15">
        <v>1</v>
      </c>
      <c r="BP22" s="15">
        <v>1.1200000000000001</v>
      </c>
      <c r="BQ22" s="15">
        <v>1.5</v>
      </c>
      <c r="BR22" s="15">
        <v>0.77</v>
      </c>
      <c r="BS22" s="15">
        <v>2</v>
      </c>
      <c r="BT22" s="15">
        <v>0.59</v>
      </c>
      <c r="BV22" s="1">
        <v>15</v>
      </c>
      <c r="BW22" s="25">
        <v>0.5</v>
      </c>
      <c r="BX22" s="25">
        <v>1.39</v>
      </c>
      <c r="BY22" s="25">
        <v>0.7</v>
      </c>
      <c r="BZ22" s="25">
        <v>0.97</v>
      </c>
      <c r="CA22" s="25">
        <v>0.9</v>
      </c>
      <c r="CB22" s="25">
        <v>0.76</v>
      </c>
    </row>
    <row r="23" spans="1:80" x14ac:dyDescent="0.3">
      <c r="A23" s="1">
        <v>16</v>
      </c>
      <c r="B23" s="1">
        <v>1.1000000000000001</v>
      </c>
      <c r="C23" s="1">
        <v>0.86</v>
      </c>
      <c r="D23" s="1">
        <v>2</v>
      </c>
      <c r="E23" s="1">
        <v>0.6</v>
      </c>
      <c r="F23" s="1">
        <v>3</v>
      </c>
      <c r="G23" s="1">
        <v>0.48</v>
      </c>
      <c r="J23" s="1">
        <v>16</v>
      </c>
      <c r="K23" s="1">
        <v>0.5</v>
      </c>
      <c r="L23" s="16">
        <v>1.1000000000000001</v>
      </c>
      <c r="M23" s="1">
        <v>1</v>
      </c>
      <c r="N23" s="1">
        <v>0.74</v>
      </c>
      <c r="O23" s="1">
        <v>1.5</v>
      </c>
      <c r="P23" s="1">
        <v>0.59</v>
      </c>
      <c r="R23" s="1">
        <v>16</v>
      </c>
      <c r="S23" s="23"/>
      <c r="T23" s="23"/>
      <c r="U23" s="24"/>
      <c r="V23" s="24"/>
      <c r="W23" s="24"/>
      <c r="X23" s="24"/>
      <c r="Z23" s="1">
        <v>16</v>
      </c>
      <c r="AA23" s="24"/>
      <c r="AB23" s="24"/>
      <c r="AC23" s="24"/>
      <c r="AD23" s="24"/>
      <c r="AE23" s="24"/>
      <c r="AF23" s="24"/>
      <c r="AH23" s="1">
        <v>16</v>
      </c>
      <c r="AI23" s="23"/>
      <c r="AJ23" s="23"/>
      <c r="AK23" s="25">
        <v>0.2</v>
      </c>
      <c r="AL23" s="25">
        <v>0.87</v>
      </c>
      <c r="AM23" s="25">
        <v>0.3</v>
      </c>
      <c r="AN23" s="25">
        <v>0.65</v>
      </c>
      <c r="AP23" s="1">
        <v>16</v>
      </c>
      <c r="AQ23" s="24"/>
      <c r="AR23" s="24"/>
      <c r="AS23" s="23"/>
      <c r="AT23" s="23"/>
      <c r="AU23" s="23"/>
      <c r="AV23" s="23"/>
      <c r="AX23" s="1">
        <v>16</v>
      </c>
      <c r="AY23" s="15">
        <v>0.4</v>
      </c>
      <c r="AZ23" s="15">
        <v>1.21</v>
      </c>
      <c r="BA23" s="15">
        <v>0.6</v>
      </c>
      <c r="BB23" s="15">
        <v>0.83</v>
      </c>
      <c r="BC23" s="15">
        <v>0.8</v>
      </c>
      <c r="BD23" s="15">
        <v>0.64</v>
      </c>
      <c r="BF23" s="1">
        <v>16</v>
      </c>
      <c r="BG23" s="25">
        <v>0.2</v>
      </c>
      <c r="BH23" s="25">
        <v>1.5</v>
      </c>
      <c r="BI23" s="25">
        <v>0.3</v>
      </c>
      <c r="BJ23" s="25">
        <v>1.02</v>
      </c>
      <c r="BK23" s="25">
        <v>0.4</v>
      </c>
      <c r="BL23" s="25">
        <v>0.79</v>
      </c>
      <c r="BN23" s="1">
        <v>16</v>
      </c>
      <c r="BO23" s="15">
        <v>1</v>
      </c>
      <c r="BP23" s="15">
        <v>1.17</v>
      </c>
      <c r="BQ23" s="15">
        <v>1.4</v>
      </c>
      <c r="BR23" s="15">
        <v>0.82</v>
      </c>
      <c r="BS23" s="15">
        <v>1.9</v>
      </c>
      <c r="BT23" s="15">
        <v>0.63</v>
      </c>
      <c r="BV23" s="1">
        <v>16</v>
      </c>
      <c r="BW23" s="25">
        <v>0.5</v>
      </c>
      <c r="BX23" s="25">
        <v>1.45</v>
      </c>
      <c r="BY23" s="25">
        <v>0.7</v>
      </c>
      <c r="BZ23" s="25">
        <v>1.01</v>
      </c>
      <c r="CA23" s="25">
        <v>0.9</v>
      </c>
      <c r="CB23" s="25">
        <v>0.79</v>
      </c>
    </row>
    <row r="24" spans="1:80" x14ac:dyDescent="0.3">
      <c r="A24" s="1">
        <v>17</v>
      </c>
      <c r="B24" s="1">
        <v>1</v>
      </c>
      <c r="C24" s="1">
        <v>0.91</v>
      </c>
      <c r="D24" s="1">
        <v>1.8</v>
      </c>
      <c r="E24" s="1">
        <v>0.64</v>
      </c>
      <c r="F24" s="1">
        <v>2.8</v>
      </c>
      <c r="G24" s="1">
        <v>0.5</v>
      </c>
      <c r="J24" s="1">
        <v>17</v>
      </c>
      <c r="K24" s="1">
        <v>0.5</v>
      </c>
      <c r="L24" s="16">
        <v>1.1299999999999999</v>
      </c>
      <c r="M24" s="1">
        <v>0.9</v>
      </c>
      <c r="N24" s="1">
        <v>0.79</v>
      </c>
      <c r="O24" s="1">
        <v>1.4</v>
      </c>
      <c r="P24" s="1">
        <v>0.61</v>
      </c>
      <c r="R24" s="1">
        <v>17</v>
      </c>
      <c r="S24" s="23"/>
      <c r="T24" s="23"/>
      <c r="U24" s="24"/>
      <c r="V24" s="24"/>
      <c r="W24" s="24"/>
      <c r="X24" s="24"/>
      <c r="Z24" s="1">
        <v>17</v>
      </c>
      <c r="AA24" s="24"/>
      <c r="AB24" s="24"/>
      <c r="AC24" s="24"/>
      <c r="AD24" s="24"/>
      <c r="AE24" s="24"/>
      <c r="AF24" s="24"/>
      <c r="AH24" s="1">
        <v>17</v>
      </c>
      <c r="AI24" s="23"/>
      <c r="AJ24" s="23"/>
      <c r="AK24" s="25">
        <v>0.2</v>
      </c>
      <c r="AL24" s="25">
        <v>0.9</v>
      </c>
      <c r="AM24" s="25">
        <v>0.3</v>
      </c>
      <c r="AN24" s="25">
        <v>0.67</v>
      </c>
      <c r="AP24" s="1">
        <v>17</v>
      </c>
      <c r="AQ24" s="24"/>
      <c r="AR24" s="24"/>
      <c r="AS24" s="24"/>
      <c r="AT24" s="24"/>
      <c r="AU24" s="23"/>
      <c r="AV24" s="23"/>
      <c r="AX24" s="1">
        <v>17</v>
      </c>
      <c r="AY24" s="15">
        <v>0.4</v>
      </c>
      <c r="AZ24" s="15">
        <v>1.25</v>
      </c>
      <c r="BA24" s="15">
        <v>0.6</v>
      </c>
      <c r="BB24" s="15">
        <v>0.86</v>
      </c>
      <c r="BC24" s="15">
        <v>0.8</v>
      </c>
      <c r="BD24" s="15">
        <v>0.66</v>
      </c>
      <c r="BF24" s="1">
        <v>17</v>
      </c>
      <c r="BG24" s="25">
        <v>0.2</v>
      </c>
      <c r="BH24" s="25">
        <v>1.55</v>
      </c>
      <c r="BI24" s="25">
        <v>0.3</v>
      </c>
      <c r="BJ24" s="25">
        <v>1.06</v>
      </c>
      <c r="BK24" s="25">
        <v>0.3</v>
      </c>
      <c r="BL24" s="25">
        <v>0.89</v>
      </c>
      <c r="BN24" s="1">
        <v>17</v>
      </c>
      <c r="BO24" s="15">
        <v>0.9</v>
      </c>
      <c r="BP24" s="15">
        <v>1.25</v>
      </c>
      <c r="BQ24" s="15">
        <v>1.4</v>
      </c>
      <c r="BR24" s="15">
        <v>0.85</v>
      </c>
      <c r="BS24" s="15">
        <v>1.8</v>
      </c>
      <c r="BT24" s="15">
        <v>0.66</v>
      </c>
      <c r="BV24" s="1">
        <v>17</v>
      </c>
      <c r="BW24" s="25">
        <v>0.4</v>
      </c>
      <c r="BX24" s="25">
        <v>1.61</v>
      </c>
      <c r="BY24" s="25">
        <v>0.6</v>
      </c>
      <c r="BZ24" s="25">
        <v>1.1000000000000001</v>
      </c>
      <c r="CA24" s="25">
        <v>0.9</v>
      </c>
      <c r="CB24" s="25">
        <v>0.82</v>
      </c>
    </row>
    <row r="25" spans="1:80" x14ac:dyDescent="0.3">
      <c r="A25" s="1">
        <v>18</v>
      </c>
      <c r="B25" s="1">
        <v>0.9</v>
      </c>
      <c r="C25" s="1">
        <v>0.97</v>
      </c>
      <c r="D25" s="1">
        <v>1.7</v>
      </c>
      <c r="E25" s="1">
        <v>0.67</v>
      </c>
      <c r="F25" s="1">
        <v>2.6</v>
      </c>
      <c r="G25" s="1">
        <v>0.52</v>
      </c>
      <c r="J25" s="1">
        <v>18</v>
      </c>
      <c r="K25" s="1">
        <v>0.4</v>
      </c>
      <c r="L25" s="16">
        <v>1.24</v>
      </c>
      <c r="M25" s="1">
        <v>0.8</v>
      </c>
      <c r="N25" s="1">
        <v>0.84</v>
      </c>
      <c r="O25" s="1">
        <v>1.3</v>
      </c>
      <c r="P25" s="1">
        <v>0.64</v>
      </c>
      <c r="R25" s="1">
        <v>18</v>
      </c>
      <c r="S25" s="23"/>
      <c r="T25" s="23"/>
      <c r="U25" s="24"/>
      <c r="V25" s="24"/>
      <c r="W25" s="24"/>
      <c r="X25" s="24"/>
      <c r="Z25" s="1">
        <v>18</v>
      </c>
      <c r="AA25" s="24"/>
      <c r="AB25" s="24"/>
      <c r="AC25" s="24"/>
      <c r="AD25" s="24"/>
      <c r="AE25" s="24"/>
      <c r="AF25" s="24"/>
      <c r="AH25" s="1">
        <v>18</v>
      </c>
      <c r="AI25" s="23"/>
      <c r="AJ25" s="23"/>
      <c r="AK25" s="25">
        <v>0.2</v>
      </c>
      <c r="AL25" s="25">
        <v>0.93</v>
      </c>
      <c r="AM25" s="25">
        <v>0.3</v>
      </c>
      <c r="AN25" s="25">
        <v>0.69</v>
      </c>
      <c r="AP25" s="1">
        <v>18</v>
      </c>
      <c r="AQ25" s="24"/>
      <c r="AR25" s="24"/>
      <c r="AS25" s="24"/>
      <c r="AT25" s="24"/>
      <c r="AU25" s="23"/>
      <c r="AV25" s="23"/>
      <c r="AX25" s="1">
        <v>18</v>
      </c>
      <c r="AY25" s="15">
        <v>0.4</v>
      </c>
      <c r="AZ25" s="15">
        <v>1.3</v>
      </c>
      <c r="BA25" s="15">
        <v>0.5</v>
      </c>
      <c r="BB25" s="15">
        <v>0.94</v>
      </c>
      <c r="BC25" s="15">
        <v>0.7</v>
      </c>
      <c r="BD25" s="15">
        <v>0.71</v>
      </c>
      <c r="BF25" s="1">
        <v>18</v>
      </c>
      <c r="BG25" s="25">
        <v>0.2</v>
      </c>
      <c r="BH25" s="25">
        <v>1.61</v>
      </c>
      <c r="BI25" s="25">
        <v>0.2</v>
      </c>
      <c r="BJ25" s="25">
        <v>1.24</v>
      </c>
      <c r="BK25" s="25">
        <v>0.3</v>
      </c>
      <c r="BL25" s="25">
        <v>0.92</v>
      </c>
      <c r="BN25" s="1">
        <v>18</v>
      </c>
      <c r="BO25" s="15">
        <v>0.9</v>
      </c>
      <c r="BP25" s="15">
        <v>1.3</v>
      </c>
      <c r="BQ25" s="15">
        <v>1.3</v>
      </c>
      <c r="BR25" s="15">
        <v>0.9</v>
      </c>
      <c r="BS25" s="15">
        <v>1.7</v>
      </c>
      <c r="BT25" s="15">
        <v>0.7</v>
      </c>
      <c r="BV25" s="1">
        <v>18</v>
      </c>
      <c r="BW25" s="25">
        <v>0.4</v>
      </c>
      <c r="BX25" s="25">
        <v>1.67</v>
      </c>
      <c r="BY25" s="25">
        <v>0.6</v>
      </c>
      <c r="BZ25" s="25">
        <v>1.1399999999999999</v>
      </c>
      <c r="CA25" s="25">
        <v>0.8</v>
      </c>
      <c r="CB25" s="25">
        <v>0.87</v>
      </c>
    </row>
    <row r="26" spans="1:80" x14ac:dyDescent="0.3">
      <c r="A26" s="1">
        <v>19</v>
      </c>
      <c r="B26" s="1">
        <v>0.8</v>
      </c>
      <c r="C26" s="1">
        <v>1.03</v>
      </c>
      <c r="D26" s="1">
        <v>1.5</v>
      </c>
      <c r="E26" s="1">
        <v>0.71</v>
      </c>
      <c r="F26" s="1">
        <v>2.4</v>
      </c>
      <c r="G26" s="1">
        <v>0.55000000000000004</v>
      </c>
      <c r="J26" s="1">
        <v>19</v>
      </c>
      <c r="K26" s="1">
        <v>0.4</v>
      </c>
      <c r="L26" s="16">
        <v>1.27</v>
      </c>
      <c r="M26" s="1">
        <v>0.7</v>
      </c>
      <c r="N26" s="1">
        <v>0.89</v>
      </c>
      <c r="O26" s="1">
        <v>1.2</v>
      </c>
      <c r="P26" s="1">
        <v>0.67</v>
      </c>
      <c r="R26" s="1">
        <v>19</v>
      </c>
      <c r="S26" s="23"/>
      <c r="T26" s="23"/>
      <c r="U26" s="24"/>
      <c r="V26" s="24"/>
      <c r="W26" s="24"/>
      <c r="X26" s="24"/>
      <c r="Z26" s="1">
        <v>19</v>
      </c>
      <c r="AA26" s="24"/>
      <c r="AB26" s="24"/>
      <c r="AC26" s="24"/>
      <c r="AD26" s="24"/>
      <c r="AE26" s="24"/>
      <c r="AF26" s="24"/>
      <c r="AH26" s="1">
        <v>19</v>
      </c>
      <c r="AI26" s="23"/>
      <c r="AJ26" s="23"/>
      <c r="AK26" s="25">
        <v>0.2</v>
      </c>
      <c r="AL26" s="25">
        <v>0.96</v>
      </c>
      <c r="AM26" s="25">
        <v>0.2</v>
      </c>
      <c r="AN26" s="25">
        <v>0.81</v>
      </c>
      <c r="AP26" s="1">
        <v>19</v>
      </c>
      <c r="AQ26" s="24"/>
      <c r="AR26" s="24"/>
      <c r="AS26" s="24"/>
      <c r="AT26" s="24"/>
      <c r="AU26" s="23"/>
      <c r="AV26" s="23"/>
      <c r="AX26" s="1">
        <v>19</v>
      </c>
      <c r="AY26" s="15">
        <v>0.4</v>
      </c>
      <c r="AZ26" s="15">
        <v>1.34</v>
      </c>
      <c r="BA26" s="15">
        <v>0.5</v>
      </c>
      <c r="BB26" s="15">
        <v>0.97</v>
      </c>
      <c r="BC26" s="15">
        <v>0.7</v>
      </c>
      <c r="BD26" s="15">
        <v>0.74</v>
      </c>
      <c r="BF26" s="1">
        <v>19</v>
      </c>
      <c r="BG26" s="23"/>
      <c r="BH26" s="23"/>
      <c r="BI26" s="25">
        <v>0.2</v>
      </c>
      <c r="BJ26" s="25">
        <v>1.28</v>
      </c>
      <c r="BK26" s="25">
        <v>0.3</v>
      </c>
      <c r="BL26" s="25">
        <v>0.95</v>
      </c>
      <c r="BN26" s="1">
        <v>19</v>
      </c>
      <c r="BO26" s="15">
        <v>0.9</v>
      </c>
      <c r="BP26" s="15">
        <v>1.34</v>
      </c>
      <c r="BQ26" s="15">
        <v>1.3</v>
      </c>
      <c r="BR26" s="15">
        <v>0.93</v>
      </c>
      <c r="BS26" s="15">
        <v>1.6</v>
      </c>
      <c r="BT26" s="15">
        <v>0.73</v>
      </c>
      <c r="BV26" s="1">
        <v>19</v>
      </c>
      <c r="BW26" s="25">
        <v>0.4</v>
      </c>
      <c r="BX26" s="25">
        <v>1.73</v>
      </c>
      <c r="BY26" s="25">
        <v>0.6</v>
      </c>
      <c r="BZ26" s="25">
        <v>1.18</v>
      </c>
      <c r="CA26" s="25">
        <v>0.8</v>
      </c>
      <c r="CB26" s="25">
        <v>0.9</v>
      </c>
    </row>
    <row r="27" spans="1:80" x14ac:dyDescent="0.3">
      <c r="A27" s="1">
        <v>20</v>
      </c>
      <c r="B27" s="1">
        <v>0.8</v>
      </c>
      <c r="C27" s="1">
        <v>1.05</v>
      </c>
      <c r="D27" s="1">
        <v>1.4</v>
      </c>
      <c r="E27" s="1">
        <v>0.74</v>
      </c>
      <c r="F27" s="1">
        <v>2.2000000000000002</v>
      </c>
      <c r="G27" s="1">
        <v>0.56999999999999995</v>
      </c>
      <c r="J27" s="1">
        <v>20</v>
      </c>
      <c r="K27" s="1">
        <v>0.4</v>
      </c>
      <c r="L27" s="16">
        <v>1.3</v>
      </c>
      <c r="M27" s="1">
        <v>0.7</v>
      </c>
      <c r="N27" s="1">
        <v>0.91</v>
      </c>
      <c r="O27" s="1">
        <v>1.1000000000000001</v>
      </c>
      <c r="P27" s="1">
        <v>0.7</v>
      </c>
      <c r="R27" s="1">
        <v>20</v>
      </c>
      <c r="S27" s="23"/>
      <c r="T27" s="23"/>
      <c r="U27" s="24"/>
      <c r="V27" s="24"/>
      <c r="W27" s="24"/>
      <c r="X27" s="24"/>
      <c r="Z27" s="1">
        <v>20</v>
      </c>
      <c r="AA27" s="24"/>
      <c r="AB27" s="24"/>
      <c r="AC27" s="24"/>
      <c r="AD27" s="24"/>
      <c r="AE27" s="24"/>
      <c r="AF27" s="24"/>
      <c r="AH27" s="1">
        <v>20</v>
      </c>
      <c r="AI27" s="23"/>
      <c r="AJ27" s="23"/>
      <c r="AK27" s="25">
        <v>0.2</v>
      </c>
      <c r="AL27" s="25">
        <v>0.99</v>
      </c>
      <c r="AM27" s="25">
        <v>0.2</v>
      </c>
      <c r="AN27" s="25">
        <v>0.83</v>
      </c>
      <c r="AP27" s="1">
        <v>20</v>
      </c>
      <c r="AQ27" s="24"/>
      <c r="AR27" s="24"/>
      <c r="AS27" s="24"/>
      <c r="AT27" s="24"/>
      <c r="AU27" s="23"/>
      <c r="AV27" s="23"/>
      <c r="AX27" s="1">
        <v>20</v>
      </c>
      <c r="AY27" s="15">
        <v>0.3</v>
      </c>
      <c r="AZ27" s="15">
        <v>1.52</v>
      </c>
      <c r="BA27" s="15">
        <v>0.5</v>
      </c>
      <c r="BB27" s="15">
        <v>1</v>
      </c>
      <c r="BC27" s="15">
        <v>0.7</v>
      </c>
      <c r="BD27" s="15">
        <v>0.76</v>
      </c>
      <c r="BF27" s="1">
        <v>20</v>
      </c>
      <c r="BG27" s="23"/>
      <c r="BH27" s="23"/>
      <c r="BI27" s="25">
        <v>0.2</v>
      </c>
      <c r="BJ27" s="25">
        <v>1.32</v>
      </c>
      <c r="BK27" s="25">
        <v>0.3</v>
      </c>
      <c r="BL27" s="25">
        <v>0.98</v>
      </c>
      <c r="BN27" s="1">
        <v>20</v>
      </c>
      <c r="BO27" s="15">
        <v>0.8</v>
      </c>
      <c r="BP27" s="15">
        <v>1.44</v>
      </c>
      <c r="BQ27" s="15">
        <v>1.2</v>
      </c>
      <c r="BR27" s="15">
        <v>0.98</v>
      </c>
      <c r="BS27" s="15">
        <v>1.5</v>
      </c>
      <c r="BT27" s="15">
        <v>0.77</v>
      </c>
      <c r="BV27" s="1">
        <v>20</v>
      </c>
      <c r="BW27" s="25">
        <v>0.4</v>
      </c>
      <c r="BX27" s="25">
        <v>1.79</v>
      </c>
      <c r="BY27" s="25">
        <v>0.5</v>
      </c>
      <c r="BZ27" s="25">
        <v>1.28</v>
      </c>
      <c r="CA27" s="25">
        <v>0.7</v>
      </c>
      <c r="CB27" s="25">
        <v>0.97</v>
      </c>
    </row>
    <row r="28" spans="1:80" x14ac:dyDescent="0.3">
      <c r="A28" s="1">
        <v>21</v>
      </c>
      <c r="B28" s="1">
        <v>0.7</v>
      </c>
      <c r="C28" s="1">
        <v>1.1200000000000001</v>
      </c>
      <c r="D28" s="1">
        <v>1.3</v>
      </c>
      <c r="E28" s="1">
        <v>0.77</v>
      </c>
      <c r="F28" s="1">
        <v>2.1</v>
      </c>
      <c r="G28" s="1">
        <v>0.59</v>
      </c>
      <c r="J28" s="1">
        <v>21</v>
      </c>
      <c r="K28" s="1">
        <v>0.3</v>
      </c>
      <c r="L28" s="16">
        <v>1.46</v>
      </c>
      <c r="M28" s="1">
        <v>0.6</v>
      </c>
      <c r="N28" s="1">
        <v>0.97</v>
      </c>
      <c r="O28" s="1">
        <v>1</v>
      </c>
      <c r="P28" s="1">
        <v>0.74</v>
      </c>
      <c r="R28" s="1">
        <v>21</v>
      </c>
      <c r="S28" s="23"/>
      <c r="T28" s="23"/>
      <c r="U28" s="24"/>
      <c r="V28" s="24"/>
      <c r="W28" s="24"/>
      <c r="X28" s="24"/>
      <c r="Z28" s="1">
        <v>21</v>
      </c>
      <c r="AA28" s="24"/>
      <c r="AB28" s="24"/>
      <c r="AC28" s="24"/>
      <c r="AD28" s="24"/>
      <c r="AE28" s="24"/>
      <c r="AF28" s="24"/>
      <c r="AH28" s="1">
        <v>21</v>
      </c>
      <c r="AI28" s="23"/>
      <c r="AJ28" s="23"/>
      <c r="AK28" s="25">
        <v>0.2</v>
      </c>
      <c r="AL28" s="25">
        <v>1.02</v>
      </c>
      <c r="AM28" s="25">
        <v>0.2</v>
      </c>
      <c r="AN28" s="25">
        <v>0.86</v>
      </c>
      <c r="AP28" s="1">
        <v>21</v>
      </c>
      <c r="AQ28" s="24"/>
      <c r="AR28" s="24"/>
      <c r="AS28" s="24"/>
      <c r="AT28" s="24"/>
      <c r="AU28" s="23"/>
      <c r="AV28" s="23"/>
      <c r="AX28" s="1">
        <v>21</v>
      </c>
      <c r="AY28" s="15">
        <v>0.3</v>
      </c>
      <c r="AZ28" s="15">
        <v>1.56</v>
      </c>
      <c r="BA28" s="15">
        <v>0.5</v>
      </c>
      <c r="BB28" s="15">
        <v>1.03</v>
      </c>
      <c r="BC28" s="15">
        <v>0.6</v>
      </c>
      <c r="BD28" s="15">
        <v>0.82</v>
      </c>
      <c r="BF28" s="1">
        <v>21</v>
      </c>
      <c r="BG28" s="23"/>
      <c r="BH28" s="23"/>
      <c r="BI28" s="25">
        <v>0.2</v>
      </c>
      <c r="BJ28" s="25">
        <v>1.36</v>
      </c>
      <c r="BK28" s="25">
        <v>0.3</v>
      </c>
      <c r="BL28" s="25">
        <v>1.01</v>
      </c>
      <c r="BN28" s="1">
        <v>21</v>
      </c>
      <c r="BO28" s="15">
        <v>0.8</v>
      </c>
      <c r="BP28" s="15">
        <v>1.48</v>
      </c>
      <c r="BQ28" s="15">
        <v>1.1000000000000001</v>
      </c>
      <c r="BR28" s="15">
        <v>1.04</v>
      </c>
      <c r="BS28" s="15">
        <v>1.5</v>
      </c>
      <c r="BT28" s="15">
        <v>0.79</v>
      </c>
      <c r="BV28" s="1">
        <v>21</v>
      </c>
      <c r="BW28" s="25">
        <v>0.3</v>
      </c>
      <c r="BX28" s="25">
        <v>2.02</v>
      </c>
      <c r="BY28" s="25">
        <v>0.5</v>
      </c>
      <c r="BZ28" s="25">
        <v>1.32</v>
      </c>
      <c r="CA28" s="25">
        <v>0.7</v>
      </c>
      <c r="CB28" s="25">
        <v>1</v>
      </c>
    </row>
    <row r="29" spans="1:80" x14ac:dyDescent="0.3">
      <c r="A29" s="1">
        <v>22</v>
      </c>
      <c r="B29" s="1">
        <v>0.7</v>
      </c>
      <c r="C29" s="1">
        <v>1.1399999999999999</v>
      </c>
      <c r="D29" s="1">
        <v>1.2</v>
      </c>
      <c r="E29" s="1">
        <v>0.8</v>
      </c>
      <c r="F29" s="1">
        <v>2</v>
      </c>
      <c r="G29" s="1">
        <v>0.61</v>
      </c>
      <c r="J29" s="1">
        <v>22</v>
      </c>
      <c r="K29" s="1">
        <v>0.3</v>
      </c>
      <c r="L29" s="16">
        <v>1.49</v>
      </c>
      <c r="M29" s="1">
        <v>0.6</v>
      </c>
      <c r="N29" s="1">
        <v>0.99</v>
      </c>
      <c r="O29" s="1">
        <v>0.9</v>
      </c>
      <c r="P29" s="1">
        <v>0.78</v>
      </c>
      <c r="R29" s="1">
        <v>22</v>
      </c>
      <c r="S29" s="24"/>
      <c r="T29" s="24"/>
      <c r="U29" s="24"/>
      <c r="V29" s="24"/>
      <c r="W29" s="24"/>
      <c r="X29" s="24"/>
      <c r="Z29" s="1">
        <v>22</v>
      </c>
      <c r="AA29" s="24"/>
      <c r="AB29" s="24"/>
      <c r="AC29" s="24"/>
      <c r="AD29" s="24"/>
      <c r="AE29" s="24"/>
      <c r="AF29" s="24"/>
      <c r="AH29" s="1">
        <v>22</v>
      </c>
      <c r="AI29" s="24"/>
      <c r="AJ29" s="24"/>
      <c r="AK29" s="24"/>
      <c r="AL29" s="24"/>
      <c r="AM29" s="25">
        <v>0.2</v>
      </c>
      <c r="AN29" s="25">
        <v>0.88</v>
      </c>
      <c r="AP29" s="1">
        <v>22</v>
      </c>
      <c r="AQ29" s="24"/>
      <c r="AR29" s="24"/>
      <c r="AS29" s="24"/>
      <c r="AT29" s="24"/>
      <c r="AU29" s="23"/>
      <c r="AV29" s="23"/>
      <c r="AX29" s="1">
        <v>22</v>
      </c>
      <c r="AY29" s="15">
        <v>0.3</v>
      </c>
      <c r="AZ29" s="15">
        <v>1.61</v>
      </c>
      <c r="BA29" s="15">
        <v>0.5</v>
      </c>
      <c r="BB29" s="15">
        <v>1.06</v>
      </c>
      <c r="BC29" s="15">
        <v>0.6</v>
      </c>
      <c r="BD29" s="15">
        <v>0.84</v>
      </c>
      <c r="BF29" s="1">
        <v>22</v>
      </c>
      <c r="BG29" s="23"/>
      <c r="BH29" s="23"/>
      <c r="BI29" s="25">
        <v>0.2</v>
      </c>
      <c r="BJ29" s="25">
        <v>1.4</v>
      </c>
      <c r="BK29" s="25">
        <v>0.3</v>
      </c>
      <c r="BL29" s="25">
        <v>1.04</v>
      </c>
      <c r="BN29" s="1">
        <v>22</v>
      </c>
      <c r="BO29" s="15">
        <v>0.7</v>
      </c>
      <c r="BP29" s="15">
        <v>1.59</v>
      </c>
      <c r="BQ29" s="15">
        <v>1.1000000000000001</v>
      </c>
      <c r="BR29" s="15">
        <v>1.07</v>
      </c>
      <c r="BS29" s="15">
        <v>1.4</v>
      </c>
      <c r="BT29" s="15">
        <v>0.83</v>
      </c>
      <c r="BV29" s="1">
        <v>22</v>
      </c>
      <c r="BW29" s="25">
        <v>0.3</v>
      </c>
      <c r="BX29" s="25">
        <v>2.08</v>
      </c>
      <c r="BY29" s="25">
        <v>0.5</v>
      </c>
      <c r="BZ29" s="25">
        <v>1.36</v>
      </c>
      <c r="CA29" s="25">
        <v>0.7</v>
      </c>
      <c r="CB29" s="25">
        <v>1.03</v>
      </c>
    </row>
    <row r="30" spans="1:80" x14ac:dyDescent="0.3">
      <c r="A30" s="1">
        <v>23</v>
      </c>
      <c r="B30" s="1">
        <v>0.6</v>
      </c>
      <c r="C30" s="1">
        <v>1.22</v>
      </c>
      <c r="D30" s="1">
        <v>1.1000000000000001</v>
      </c>
      <c r="E30" s="1">
        <v>0.84</v>
      </c>
      <c r="F30" s="1">
        <v>1.8</v>
      </c>
      <c r="G30" s="1">
        <v>0.64</v>
      </c>
      <c r="J30" s="1">
        <v>23</v>
      </c>
      <c r="K30" s="1">
        <v>0.3</v>
      </c>
      <c r="L30" s="16">
        <v>1.52</v>
      </c>
      <c r="M30" s="1">
        <v>0.5</v>
      </c>
      <c r="N30" s="1">
        <v>1.07</v>
      </c>
      <c r="O30" s="1">
        <v>0.9</v>
      </c>
      <c r="P30" s="1">
        <v>0.79</v>
      </c>
      <c r="R30" s="1">
        <v>23</v>
      </c>
      <c r="S30" s="24"/>
      <c r="T30" s="24"/>
      <c r="U30" s="24"/>
      <c r="V30" s="24"/>
      <c r="W30" s="24"/>
      <c r="X30" s="24"/>
      <c r="Z30" s="1">
        <v>23</v>
      </c>
      <c r="AA30" s="24"/>
      <c r="AB30" s="24"/>
      <c r="AC30" s="24"/>
      <c r="AD30" s="24"/>
      <c r="AE30" s="24"/>
      <c r="AF30" s="24"/>
      <c r="AH30" s="1">
        <v>23</v>
      </c>
      <c r="AI30" s="24"/>
      <c r="AJ30" s="24"/>
      <c r="AK30" s="24"/>
      <c r="AL30" s="24"/>
      <c r="AM30" s="25">
        <v>0.2</v>
      </c>
      <c r="AN30" s="25">
        <v>0.91</v>
      </c>
      <c r="AP30" s="1">
        <v>23</v>
      </c>
      <c r="AQ30" s="24"/>
      <c r="AR30" s="24"/>
      <c r="AS30" s="24"/>
      <c r="AT30" s="24"/>
      <c r="AU30" s="23"/>
      <c r="AV30" s="23"/>
      <c r="AX30" s="1">
        <v>23</v>
      </c>
      <c r="AY30" s="15">
        <v>0.3</v>
      </c>
      <c r="AZ30" s="15">
        <v>1.66</v>
      </c>
      <c r="BA30" s="15">
        <v>0.4</v>
      </c>
      <c r="BB30" s="15">
        <v>1.17</v>
      </c>
      <c r="BC30" s="15">
        <v>0.6</v>
      </c>
      <c r="BD30" s="15">
        <v>0.87</v>
      </c>
      <c r="BF30" s="1">
        <v>23</v>
      </c>
      <c r="BG30" s="23"/>
      <c r="BH30" s="23"/>
      <c r="BI30" s="25">
        <v>0.2</v>
      </c>
      <c r="BJ30" s="25">
        <v>1.44</v>
      </c>
      <c r="BK30" s="25">
        <v>0.3</v>
      </c>
      <c r="BL30" s="25">
        <v>1.07</v>
      </c>
      <c r="BN30" s="1">
        <v>23</v>
      </c>
      <c r="BO30" s="15">
        <v>0.7</v>
      </c>
      <c r="BP30" s="15">
        <v>1.64</v>
      </c>
      <c r="BQ30" s="15">
        <v>1</v>
      </c>
      <c r="BR30" s="15">
        <v>1.1299999999999999</v>
      </c>
      <c r="BS30" s="15">
        <v>1.4</v>
      </c>
      <c r="BT30" s="15">
        <v>0.86</v>
      </c>
      <c r="BV30" s="1">
        <v>23</v>
      </c>
      <c r="BW30" s="25">
        <v>0.3</v>
      </c>
      <c r="BX30" s="25">
        <v>2.14</v>
      </c>
      <c r="BY30" s="25">
        <v>0.5</v>
      </c>
      <c r="BZ30" s="25">
        <v>1.4</v>
      </c>
      <c r="CA30" s="25">
        <v>0.6</v>
      </c>
      <c r="CB30" s="25">
        <v>1.1100000000000001</v>
      </c>
    </row>
    <row r="31" spans="1:80" x14ac:dyDescent="0.3">
      <c r="A31" s="1">
        <v>24</v>
      </c>
      <c r="B31" s="1">
        <v>0.6</v>
      </c>
      <c r="C31" s="1">
        <v>1.25</v>
      </c>
      <c r="D31" s="1">
        <v>1</v>
      </c>
      <c r="E31" s="1">
        <v>0.88</v>
      </c>
      <c r="F31" s="1">
        <v>1.7</v>
      </c>
      <c r="G31" s="1">
        <v>0.66</v>
      </c>
      <c r="J31" s="1">
        <v>24</v>
      </c>
      <c r="K31" s="1">
        <v>0.3</v>
      </c>
      <c r="L31" s="16">
        <v>1.55</v>
      </c>
      <c r="M31" s="1">
        <v>0.5</v>
      </c>
      <c r="N31" s="1">
        <v>1.0900000000000001</v>
      </c>
      <c r="O31" s="1">
        <v>0.8</v>
      </c>
      <c r="P31" s="1">
        <v>0.83</v>
      </c>
      <c r="R31" s="1">
        <v>24</v>
      </c>
      <c r="S31" s="24"/>
      <c r="T31" s="24"/>
      <c r="U31" s="24"/>
      <c r="V31" s="24"/>
      <c r="W31" s="24"/>
      <c r="X31" s="24"/>
      <c r="Z31" s="1">
        <v>24</v>
      </c>
      <c r="AA31" s="24"/>
      <c r="AB31" s="24"/>
      <c r="AC31" s="24"/>
      <c r="AD31" s="24"/>
      <c r="AE31" s="24"/>
      <c r="AF31" s="24"/>
      <c r="AH31" s="1">
        <v>24</v>
      </c>
      <c r="AI31" s="24"/>
      <c r="AJ31" s="24"/>
      <c r="AK31" s="24"/>
      <c r="AL31" s="24"/>
      <c r="AM31" s="25">
        <v>0.2</v>
      </c>
      <c r="AN31" s="25">
        <v>0.93</v>
      </c>
      <c r="AP31" s="1">
        <v>24</v>
      </c>
      <c r="AQ31" s="24"/>
      <c r="AR31" s="24"/>
      <c r="AS31" s="24"/>
      <c r="AT31" s="24"/>
      <c r="AU31" s="23"/>
      <c r="AV31" s="23"/>
      <c r="AX31" s="1">
        <v>24</v>
      </c>
      <c r="AY31" s="15">
        <v>0.3</v>
      </c>
      <c r="AZ31" s="15">
        <v>1.7</v>
      </c>
      <c r="BA31" s="15">
        <v>0.4</v>
      </c>
      <c r="BB31" s="15">
        <v>1.2</v>
      </c>
      <c r="BC31" s="15">
        <v>0.5</v>
      </c>
      <c r="BD31" s="15">
        <v>0.94</v>
      </c>
      <c r="BF31" s="1">
        <v>24</v>
      </c>
      <c r="BG31" s="23"/>
      <c r="BH31" s="23"/>
      <c r="BI31" s="25">
        <v>0.2</v>
      </c>
      <c r="BJ31" s="25">
        <v>1.48</v>
      </c>
      <c r="BK31" s="25">
        <v>0.2</v>
      </c>
      <c r="BL31" s="25">
        <v>1.24</v>
      </c>
      <c r="BN31" s="1">
        <v>24</v>
      </c>
      <c r="BO31" s="15">
        <v>0.7</v>
      </c>
      <c r="BP31" s="15">
        <v>1.68</v>
      </c>
      <c r="BQ31" s="15">
        <v>1</v>
      </c>
      <c r="BR31" s="15">
        <v>1.1599999999999999</v>
      </c>
      <c r="BS31" s="15">
        <v>1.3</v>
      </c>
      <c r="BT31" s="15">
        <v>0.9</v>
      </c>
      <c r="BV31" s="1">
        <v>24</v>
      </c>
      <c r="BW31" s="25">
        <v>0.3</v>
      </c>
      <c r="BX31" s="25">
        <v>2.21</v>
      </c>
      <c r="BY31" s="25">
        <v>0.5</v>
      </c>
      <c r="BZ31" s="25">
        <v>1.43</v>
      </c>
      <c r="CA31" s="25">
        <v>0.6</v>
      </c>
      <c r="CB31" s="25">
        <v>1.1299999999999999</v>
      </c>
    </row>
    <row r="32" spans="1:80" x14ac:dyDescent="0.3">
      <c r="A32" s="1">
        <v>25</v>
      </c>
      <c r="B32" s="1">
        <v>0.6</v>
      </c>
      <c r="C32" s="1">
        <v>1.27</v>
      </c>
      <c r="D32" s="1">
        <v>1</v>
      </c>
      <c r="E32" s="1">
        <v>0.9</v>
      </c>
      <c r="F32" s="1">
        <v>1.6</v>
      </c>
      <c r="G32" s="1">
        <v>0.69</v>
      </c>
      <c r="J32" s="1">
        <v>25</v>
      </c>
      <c r="K32" s="1">
        <v>0.3</v>
      </c>
      <c r="L32" s="16">
        <v>1.58</v>
      </c>
      <c r="M32" s="1">
        <v>0.5</v>
      </c>
      <c r="N32" s="1">
        <v>1.1100000000000001</v>
      </c>
      <c r="O32" s="1">
        <v>0.8</v>
      </c>
      <c r="P32" s="1">
        <v>0.85</v>
      </c>
      <c r="R32" s="1">
        <v>25</v>
      </c>
      <c r="S32" s="24"/>
      <c r="T32" s="24"/>
      <c r="U32" s="24"/>
      <c r="V32" s="24"/>
      <c r="W32" s="24"/>
      <c r="X32" s="24"/>
      <c r="Z32" s="1">
        <v>25</v>
      </c>
      <c r="AA32" s="24"/>
      <c r="AB32" s="24"/>
      <c r="AC32" s="24"/>
      <c r="AD32" s="24"/>
      <c r="AE32" s="24"/>
      <c r="AF32" s="24"/>
      <c r="AH32" s="1">
        <v>25</v>
      </c>
      <c r="AI32" s="24"/>
      <c r="AJ32" s="24"/>
      <c r="AK32" s="24"/>
      <c r="AL32" s="24"/>
      <c r="AM32" s="25">
        <v>0.2</v>
      </c>
      <c r="AN32" s="25">
        <v>0.96</v>
      </c>
      <c r="AP32" s="1">
        <v>25</v>
      </c>
      <c r="AQ32" s="24"/>
      <c r="AR32" s="24"/>
      <c r="AS32" s="24"/>
      <c r="AT32" s="24"/>
      <c r="AU32" s="23"/>
      <c r="AV32" s="23"/>
      <c r="AX32" s="1">
        <v>25</v>
      </c>
      <c r="AY32" s="15">
        <v>0.3</v>
      </c>
      <c r="AZ32" s="15">
        <v>1.75</v>
      </c>
      <c r="BA32" s="15">
        <v>0.4</v>
      </c>
      <c r="BB32" s="15">
        <v>1.23</v>
      </c>
      <c r="BC32" s="15">
        <v>0.5</v>
      </c>
      <c r="BD32" s="15">
        <v>0.96</v>
      </c>
      <c r="BF32" s="1">
        <v>25</v>
      </c>
      <c r="BG32" s="23"/>
      <c r="BH32" s="23"/>
      <c r="BI32" s="25">
        <v>0.2</v>
      </c>
      <c r="BJ32" s="25">
        <v>1.52</v>
      </c>
      <c r="BK32" s="25">
        <v>0.2</v>
      </c>
      <c r="BL32" s="25">
        <v>1.27</v>
      </c>
      <c r="BN32" s="1">
        <v>25</v>
      </c>
      <c r="BO32" s="15">
        <v>0.6</v>
      </c>
      <c r="BP32" s="15">
        <v>1.81</v>
      </c>
      <c r="BQ32" s="15">
        <v>1</v>
      </c>
      <c r="BR32" s="15">
        <v>1.19</v>
      </c>
      <c r="BS32" s="15">
        <v>1.3</v>
      </c>
      <c r="BT32" s="15">
        <v>0.92</v>
      </c>
      <c r="BV32" s="1">
        <v>25</v>
      </c>
      <c r="BW32" s="25">
        <v>0.3</v>
      </c>
      <c r="BX32" s="25">
        <v>2.2599999999999998</v>
      </c>
      <c r="BY32" s="25">
        <v>0.5</v>
      </c>
      <c r="BZ32" s="25">
        <v>1.47</v>
      </c>
      <c r="CA32" s="25">
        <v>0.6</v>
      </c>
      <c r="CB32" s="25">
        <v>1.1599999999999999</v>
      </c>
    </row>
    <row r="33" spans="1:80" x14ac:dyDescent="0.3">
      <c r="A33" s="1">
        <v>26</v>
      </c>
      <c r="B33" s="1">
        <v>0.5</v>
      </c>
      <c r="C33" s="1">
        <v>1.37</v>
      </c>
      <c r="D33" s="1">
        <v>0.9</v>
      </c>
      <c r="E33" s="1">
        <v>0.94</v>
      </c>
      <c r="F33" s="1">
        <v>1.5</v>
      </c>
      <c r="G33" s="1">
        <v>0.71</v>
      </c>
      <c r="J33" s="1">
        <v>26</v>
      </c>
      <c r="K33" s="1">
        <v>0.2</v>
      </c>
      <c r="L33" s="16">
        <v>1.84</v>
      </c>
      <c r="M33" s="1">
        <v>0.5</v>
      </c>
      <c r="N33" s="1">
        <v>1.1299999999999999</v>
      </c>
      <c r="O33" s="1">
        <v>0.7</v>
      </c>
      <c r="P33" s="1">
        <v>0.9</v>
      </c>
      <c r="R33" s="1">
        <v>26</v>
      </c>
      <c r="S33" s="24"/>
      <c r="T33" s="24"/>
      <c r="U33" s="24"/>
      <c r="V33" s="24"/>
      <c r="W33" s="24"/>
      <c r="X33" s="24"/>
      <c r="Z33" s="1">
        <v>26</v>
      </c>
      <c r="AA33" s="24"/>
      <c r="AB33" s="24"/>
      <c r="AC33" s="24"/>
      <c r="AD33" s="24"/>
      <c r="AE33" s="24"/>
      <c r="AF33" s="24"/>
      <c r="AH33" s="1">
        <v>26</v>
      </c>
      <c r="AI33" s="24"/>
      <c r="AJ33" s="24"/>
      <c r="AK33" s="24"/>
      <c r="AL33" s="24"/>
      <c r="AM33" s="25">
        <v>0.2</v>
      </c>
      <c r="AN33" s="25">
        <v>0.98</v>
      </c>
      <c r="AP33" s="1">
        <v>26</v>
      </c>
      <c r="AQ33" s="24"/>
      <c r="AR33" s="24"/>
      <c r="AS33" s="24"/>
      <c r="AT33" s="24"/>
      <c r="AU33" s="24"/>
      <c r="AV33" s="24"/>
      <c r="AX33" s="1">
        <v>26</v>
      </c>
      <c r="AY33" s="25">
        <v>0.2</v>
      </c>
      <c r="AZ33" s="25">
        <v>2.04</v>
      </c>
      <c r="BA33" s="25">
        <v>0.4</v>
      </c>
      <c r="BB33" s="25">
        <v>1.26</v>
      </c>
      <c r="BC33" s="25">
        <v>0.5</v>
      </c>
      <c r="BD33" s="25">
        <v>0.98</v>
      </c>
      <c r="BF33" s="1">
        <v>26</v>
      </c>
      <c r="BG33" s="24"/>
      <c r="BH33" s="24"/>
      <c r="BI33" s="25">
        <v>0.2</v>
      </c>
      <c r="BJ33" s="25">
        <v>1.55</v>
      </c>
      <c r="BK33" s="25">
        <v>0.2</v>
      </c>
      <c r="BL33" s="25">
        <v>1.3</v>
      </c>
      <c r="BN33" s="1">
        <v>26</v>
      </c>
      <c r="BO33" s="25">
        <v>0.6</v>
      </c>
      <c r="BP33" s="25">
        <v>1.86</v>
      </c>
      <c r="BQ33" s="25">
        <v>0.9</v>
      </c>
      <c r="BR33" s="25">
        <v>1.26</v>
      </c>
      <c r="BS33" s="25">
        <v>1.2</v>
      </c>
      <c r="BT33" s="25">
        <v>0.97</v>
      </c>
      <c r="BV33" s="1">
        <v>26</v>
      </c>
      <c r="BW33" s="25">
        <v>0.3</v>
      </c>
      <c r="BX33" s="25">
        <v>2.3199999999999998</v>
      </c>
      <c r="BY33" s="25">
        <v>0.4</v>
      </c>
      <c r="BZ33" s="25">
        <v>1.61</v>
      </c>
      <c r="CA33" s="25">
        <v>0.6</v>
      </c>
      <c r="CB33" s="25">
        <v>1.19</v>
      </c>
    </row>
    <row r="34" spans="1:80" x14ac:dyDescent="0.3">
      <c r="A34" s="1">
        <v>27</v>
      </c>
      <c r="B34" s="1">
        <v>0.5</v>
      </c>
      <c r="C34" s="1">
        <v>1.4</v>
      </c>
      <c r="D34" s="1">
        <v>0.9</v>
      </c>
      <c r="E34" s="1">
        <v>0.96</v>
      </c>
      <c r="F34" s="1">
        <v>1.4</v>
      </c>
      <c r="G34" s="1">
        <v>0.74</v>
      </c>
      <c r="J34" s="1">
        <v>27</v>
      </c>
      <c r="K34" s="1">
        <v>0.2</v>
      </c>
      <c r="L34" s="16">
        <v>1.87</v>
      </c>
      <c r="M34" s="1">
        <v>0.4</v>
      </c>
      <c r="N34" s="1">
        <v>1.23</v>
      </c>
      <c r="O34" s="1">
        <v>0.7</v>
      </c>
      <c r="P34" s="1">
        <v>0.91</v>
      </c>
      <c r="R34" s="1">
        <v>27</v>
      </c>
      <c r="S34" s="24"/>
      <c r="T34" s="24"/>
      <c r="U34" s="24"/>
      <c r="V34" s="24"/>
      <c r="W34" s="24"/>
      <c r="X34" s="24"/>
      <c r="Z34" s="1">
        <v>27</v>
      </c>
      <c r="AA34" s="24"/>
      <c r="AB34" s="24"/>
      <c r="AC34" s="24"/>
      <c r="AD34" s="24"/>
      <c r="AE34" s="24"/>
      <c r="AF34" s="24"/>
      <c r="AH34" s="1">
        <v>27</v>
      </c>
      <c r="AI34" s="24"/>
      <c r="AJ34" s="24"/>
      <c r="AK34" s="24"/>
      <c r="AL34" s="24"/>
      <c r="AM34" s="25">
        <v>0.2</v>
      </c>
      <c r="AN34" s="25">
        <v>1</v>
      </c>
      <c r="AP34" s="1">
        <v>27</v>
      </c>
      <c r="AQ34" s="24"/>
      <c r="AR34" s="24"/>
      <c r="AS34" s="24"/>
      <c r="AT34" s="24"/>
      <c r="AU34" s="24"/>
      <c r="AV34" s="24"/>
      <c r="AX34" s="1">
        <v>27</v>
      </c>
      <c r="AY34" s="25">
        <v>0.2</v>
      </c>
      <c r="AZ34" s="25">
        <v>2.09</v>
      </c>
      <c r="BA34" s="25">
        <v>0.4</v>
      </c>
      <c r="BB34" s="25">
        <v>1.29</v>
      </c>
      <c r="BC34" s="25">
        <v>0.5</v>
      </c>
      <c r="BD34" s="25">
        <v>1.01</v>
      </c>
      <c r="BF34" s="1">
        <v>27</v>
      </c>
      <c r="BG34" s="24"/>
      <c r="BH34" s="24"/>
      <c r="BI34" s="25">
        <v>0.2</v>
      </c>
      <c r="BJ34" s="25">
        <v>1.59</v>
      </c>
      <c r="BK34" s="25">
        <v>0.2</v>
      </c>
      <c r="BL34" s="25">
        <v>1.33</v>
      </c>
      <c r="BN34" s="1">
        <v>27</v>
      </c>
      <c r="BO34" s="25">
        <v>0.6</v>
      </c>
      <c r="BP34" s="25">
        <v>1.9</v>
      </c>
      <c r="BQ34" s="25">
        <v>0.9</v>
      </c>
      <c r="BR34" s="25">
        <v>1.29</v>
      </c>
      <c r="BS34" s="25">
        <v>1.2</v>
      </c>
      <c r="BT34" s="25">
        <v>0.99</v>
      </c>
      <c r="BV34" s="1">
        <v>27</v>
      </c>
      <c r="BW34" s="25">
        <v>0.3</v>
      </c>
      <c r="BX34" s="25">
        <v>2.38</v>
      </c>
      <c r="BY34" s="25">
        <v>0.4</v>
      </c>
      <c r="BZ34" s="25">
        <v>1.65</v>
      </c>
      <c r="CA34" s="25">
        <v>0.6</v>
      </c>
      <c r="CB34" s="25">
        <v>1.22</v>
      </c>
    </row>
    <row r="35" spans="1:80" x14ac:dyDescent="0.3">
      <c r="A35" s="1">
        <v>28</v>
      </c>
      <c r="B35" s="1">
        <v>0.5</v>
      </c>
      <c r="C35" s="1">
        <v>1.42</v>
      </c>
      <c r="D35" s="1">
        <v>0.8</v>
      </c>
      <c r="E35" s="1">
        <v>1.01</v>
      </c>
      <c r="F35" s="1">
        <v>1.3</v>
      </c>
      <c r="G35" s="1">
        <v>0.77</v>
      </c>
      <c r="J35" s="1">
        <v>28</v>
      </c>
      <c r="K35" s="1">
        <v>0.2</v>
      </c>
      <c r="L35" s="16">
        <v>1.91</v>
      </c>
      <c r="M35" s="1">
        <v>0.4</v>
      </c>
      <c r="N35" s="1">
        <v>1.25</v>
      </c>
      <c r="O35" s="1">
        <v>0.6</v>
      </c>
      <c r="P35" s="1">
        <v>0.97</v>
      </c>
      <c r="R35" s="1">
        <v>28</v>
      </c>
      <c r="S35" s="24"/>
      <c r="T35" s="24"/>
      <c r="U35" s="24"/>
      <c r="V35" s="24"/>
      <c r="W35" s="24"/>
      <c r="X35" s="24"/>
      <c r="Z35" s="1">
        <v>28</v>
      </c>
      <c r="AA35" s="24"/>
      <c r="AB35" s="24"/>
      <c r="AC35" s="24"/>
      <c r="AD35" s="24"/>
      <c r="AE35" s="24"/>
      <c r="AF35" s="24"/>
      <c r="AH35" s="1">
        <v>28</v>
      </c>
      <c r="AI35" s="24"/>
      <c r="AJ35" s="24"/>
      <c r="AK35" s="24"/>
      <c r="AL35" s="24"/>
      <c r="AM35" s="25">
        <v>0.2</v>
      </c>
      <c r="AN35" s="25">
        <v>1.02</v>
      </c>
      <c r="AP35" s="1">
        <v>28</v>
      </c>
      <c r="AQ35" s="24"/>
      <c r="AR35" s="24"/>
      <c r="AS35" s="24"/>
      <c r="AT35" s="24"/>
      <c r="AU35" s="24"/>
      <c r="AV35" s="24"/>
      <c r="AX35" s="1">
        <v>28</v>
      </c>
      <c r="AY35" s="25">
        <v>0.2</v>
      </c>
      <c r="AZ35" s="25">
        <v>2.14</v>
      </c>
      <c r="BA35" s="25">
        <v>0.4</v>
      </c>
      <c r="BB35" s="25">
        <v>1.32</v>
      </c>
      <c r="BC35" s="25">
        <v>0.5</v>
      </c>
      <c r="BD35" s="25">
        <v>1.03</v>
      </c>
      <c r="BF35" s="1">
        <v>28</v>
      </c>
      <c r="BG35" s="24"/>
      <c r="BH35" s="24"/>
      <c r="BI35" s="25">
        <v>0.2</v>
      </c>
      <c r="BJ35" s="25">
        <v>1.63</v>
      </c>
      <c r="BK35" s="25">
        <v>0.2</v>
      </c>
      <c r="BL35" s="25">
        <v>1.36</v>
      </c>
      <c r="BN35" s="1">
        <v>28</v>
      </c>
      <c r="BO35" s="25">
        <v>0.6</v>
      </c>
      <c r="BP35" s="25">
        <v>1.95</v>
      </c>
      <c r="BQ35" s="25">
        <v>0.9</v>
      </c>
      <c r="BR35" s="25">
        <v>1.32</v>
      </c>
      <c r="BS35" s="25">
        <v>1.1000000000000001</v>
      </c>
      <c r="BT35" s="25">
        <v>1.04</v>
      </c>
      <c r="BV35" s="1">
        <v>28</v>
      </c>
      <c r="BW35" s="25">
        <v>0.2</v>
      </c>
      <c r="BX35" s="25">
        <v>2.79</v>
      </c>
      <c r="BY35" s="25">
        <v>0.4</v>
      </c>
      <c r="BZ35" s="25">
        <v>1.69</v>
      </c>
      <c r="CA35" s="25">
        <v>0.5</v>
      </c>
      <c r="CB35" s="25">
        <v>1.32</v>
      </c>
    </row>
    <row r="36" spans="1:80" x14ac:dyDescent="0.3">
      <c r="A36" s="1">
        <v>29</v>
      </c>
      <c r="B36" s="1">
        <v>0.5</v>
      </c>
      <c r="C36" s="1">
        <v>1.45</v>
      </c>
      <c r="D36" s="1">
        <v>0.8</v>
      </c>
      <c r="E36" s="1">
        <v>1.02</v>
      </c>
      <c r="F36" s="1">
        <v>1.2</v>
      </c>
      <c r="G36" s="1">
        <v>0.8</v>
      </c>
      <c r="J36" s="1">
        <v>29</v>
      </c>
      <c r="K36" s="1">
        <v>0.2</v>
      </c>
      <c r="L36" s="16">
        <v>1.94</v>
      </c>
      <c r="M36" s="1">
        <v>0.4</v>
      </c>
      <c r="N36" s="1">
        <v>1.27</v>
      </c>
      <c r="O36" s="1">
        <v>0.6</v>
      </c>
      <c r="P36" s="1">
        <v>0.98</v>
      </c>
      <c r="R36" s="1">
        <v>29</v>
      </c>
      <c r="S36" s="24"/>
      <c r="T36" s="24"/>
      <c r="U36" s="24"/>
      <c r="V36" s="24"/>
      <c r="W36" s="24"/>
      <c r="X36" s="24"/>
      <c r="Z36" s="1">
        <v>29</v>
      </c>
      <c r="AA36" s="24"/>
      <c r="AB36" s="24"/>
      <c r="AC36" s="24"/>
      <c r="AD36" s="24"/>
      <c r="AE36" s="24"/>
      <c r="AF36" s="24"/>
      <c r="AH36" s="1">
        <v>29</v>
      </c>
      <c r="AI36" s="24"/>
      <c r="AJ36" s="24"/>
      <c r="AK36" s="24"/>
      <c r="AL36" s="24"/>
      <c r="AM36" s="24"/>
      <c r="AN36" s="24"/>
      <c r="AP36" s="1">
        <v>29</v>
      </c>
      <c r="AQ36" s="24"/>
      <c r="AR36" s="24"/>
      <c r="AS36" s="24"/>
      <c r="AT36" s="24"/>
      <c r="AU36" s="24"/>
      <c r="AV36" s="24"/>
      <c r="AX36" s="1">
        <v>29</v>
      </c>
      <c r="AY36" s="25">
        <v>0.2</v>
      </c>
      <c r="AZ36" s="25">
        <v>2.19</v>
      </c>
      <c r="BA36" s="25">
        <v>0.3</v>
      </c>
      <c r="BB36" s="25">
        <v>1.47</v>
      </c>
      <c r="BC36" s="25">
        <v>0.5</v>
      </c>
      <c r="BD36" s="25">
        <v>1.05</v>
      </c>
      <c r="BF36" s="1">
        <v>29</v>
      </c>
      <c r="BG36" s="24"/>
      <c r="BH36" s="24"/>
      <c r="BI36" s="23"/>
      <c r="BJ36" s="23"/>
      <c r="BK36" s="25">
        <v>0.2</v>
      </c>
      <c r="BL36" s="25">
        <v>1.39</v>
      </c>
      <c r="BN36" s="1">
        <v>29</v>
      </c>
      <c r="BO36" s="25">
        <v>0.6</v>
      </c>
      <c r="BP36" s="25">
        <v>1.99</v>
      </c>
      <c r="BQ36" s="25">
        <v>0.8</v>
      </c>
      <c r="BR36" s="25">
        <v>1.39</v>
      </c>
      <c r="BS36" s="25">
        <v>1.1000000000000001</v>
      </c>
      <c r="BT36" s="25">
        <v>1.06</v>
      </c>
      <c r="BV36" s="1">
        <v>29</v>
      </c>
      <c r="BW36" s="25">
        <v>0.2</v>
      </c>
      <c r="BX36" s="25">
        <v>2.86</v>
      </c>
      <c r="BY36" s="25">
        <v>0.4</v>
      </c>
      <c r="BZ36" s="25">
        <v>1.72</v>
      </c>
      <c r="CA36" s="25">
        <v>0.5</v>
      </c>
      <c r="CB36" s="25">
        <v>1.34</v>
      </c>
    </row>
    <row r="37" spans="1:80" x14ac:dyDescent="0.3">
      <c r="A37" s="1">
        <v>30</v>
      </c>
      <c r="B37" s="1">
        <v>0.4</v>
      </c>
      <c r="C37" s="1">
        <v>1.58</v>
      </c>
      <c r="D37" s="1">
        <v>0.8</v>
      </c>
      <c r="E37" s="1">
        <v>1.04</v>
      </c>
      <c r="F37" s="1">
        <v>1.2</v>
      </c>
      <c r="G37" s="1">
        <v>0.81</v>
      </c>
      <c r="J37" s="1">
        <v>30</v>
      </c>
      <c r="K37" s="1">
        <v>0.2</v>
      </c>
      <c r="L37" s="16">
        <v>1.97</v>
      </c>
      <c r="M37" s="1">
        <v>0.4</v>
      </c>
      <c r="N37" s="1">
        <v>1.29</v>
      </c>
      <c r="O37" s="1">
        <v>0.6</v>
      </c>
      <c r="P37" s="1">
        <v>1</v>
      </c>
      <c r="R37" s="1">
        <v>30</v>
      </c>
      <c r="S37" s="24"/>
      <c r="T37" s="24"/>
      <c r="U37" s="24"/>
      <c r="V37" s="24"/>
      <c r="W37" s="24"/>
      <c r="X37" s="24"/>
      <c r="Z37" s="1">
        <v>30</v>
      </c>
      <c r="AA37" s="24"/>
      <c r="AB37" s="24"/>
      <c r="AC37" s="24"/>
      <c r="AD37" s="24"/>
      <c r="AE37" s="24"/>
      <c r="AF37" s="24"/>
      <c r="AH37" s="1">
        <v>30</v>
      </c>
      <c r="AI37" s="24"/>
      <c r="AJ37" s="24"/>
      <c r="AK37" s="24"/>
      <c r="AL37" s="24"/>
      <c r="AM37" s="24"/>
      <c r="AN37" s="24"/>
      <c r="AP37" s="1">
        <v>30</v>
      </c>
      <c r="AQ37" s="24"/>
      <c r="AR37" s="24"/>
      <c r="AS37" s="24"/>
      <c r="AT37" s="24"/>
      <c r="AU37" s="24"/>
      <c r="AV37" s="24"/>
      <c r="AX37" s="1">
        <v>30</v>
      </c>
      <c r="AY37" s="25">
        <v>0.2</v>
      </c>
      <c r="AZ37" s="25">
        <v>2.23</v>
      </c>
      <c r="BA37" s="25">
        <v>0.3</v>
      </c>
      <c r="BB37" s="25">
        <v>1.5</v>
      </c>
      <c r="BC37" s="25">
        <v>0.4</v>
      </c>
      <c r="BD37" s="25">
        <v>1.1499999999999999</v>
      </c>
      <c r="BF37" s="1">
        <v>30</v>
      </c>
      <c r="BG37" s="24"/>
      <c r="BH37" s="24"/>
      <c r="BI37" s="23"/>
      <c r="BJ37" s="23"/>
      <c r="BK37" s="25">
        <v>0.2</v>
      </c>
      <c r="BL37" s="25">
        <v>1.42</v>
      </c>
      <c r="BN37" s="1">
        <v>30</v>
      </c>
      <c r="BO37" s="25">
        <v>0.5</v>
      </c>
      <c r="BP37" s="25">
        <v>2.16</v>
      </c>
      <c r="BQ37" s="25">
        <v>0.8</v>
      </c>
      <c r="BR37" s="25">
        <v>1.42</v>
      </c>
      <c r="BS37" s="25">
        <v>1.1000000000000001</v>
      </c>
      <c r="BT37" s="25">
        <v>1.08</v>
      </c>
      <c r="BV37" s="1">
        <v>30</v>
      </c>
      <c r="BW37" s="25">
        <v>0.2</v>
      </c>
      <c r="BX37" s="25">
        <v>2.92</v>
      </c>
      <c r="BY37" s="25">
        <v>0.4</v>
      </c>
      <c r="BZ37" s="25">
        <v>1.76</v>
      </c>
      <c r="CA37" s="25">
        <v>0.5</v>
      </c>
      <c r="CB37" s="25">
        <v>1.37</v>
      </c>
    </row>
    <row r="38" spans="1:80" x14ac:dyDescent="0.3">
      <c r="A38" s="1">
        <v>31</v>
      </c>
      <c r="B38" s="1">
        <v>0.4</v>
      </c>
      <c r="C38" s="1">
        <v>1.6</v>
      </c>
      <c r="D38" s="1">
        <v>0.7</v>
      </c>
      <c r="E38" s="1">
        <v>1.1000000000000001</v>
      </c>
      <c r="F38" s="1">
        <v>1.2</v>
      </c>
      <c r="G38" s="1">
        <v>0.82</v>
      </c>
      <c r="J38" s="1">
        <v>31</v>
      </c>
      <c r="K38" s="23"/>
      <c r="L38" s="23"/>
      <c r="M38" s="1">
        <v>0.3</v>
      </c>
      <c r="N38" s="1">
        <v>1.43</v>
      </c>
      <c r="O38" s="1">
        <v>0.5</v>
      </c>
      <c r="P38" s="1">
        <v>1.07</v>
      </c>
      <c r="R38" s="1">
        <v>31</v>
      </c>
      <c r="S38" s="24"/>
      <c r="T38" s="24"/>
      <c r="U38" s="24"/>
      <c r="V38" s="24"/>
      <c r="W38" s="24"/>
      <c r="X38" s="24"/>
      <c r="Z38" s="1">
        <v>31</v>
      </c>
      <c r="AA38" s="24"/>
      <c r="AB38" s="24"/>
      <c r="AC38" s="24"/>
      <c r="AD38" s="24"/>
      <c r="AE38" s="24"/>
      <c r="AF38" s="24"/>
      <c r="AH38" s="1">
        <v>31</v>
      </c>
      <c r="AI38" s="24"/>
      <c r="AJ38" s="24"/>
      <c r="AK38" s="24"/>
      <c r="AL38" s="24"/>
      <c r="AM38" s="24"/>
      <c r="AN38" s="24"/>
      <c r="AP38" s="1">
        <v>31</v>
      </c>
      <c r="AQ38" s="24"/>
      <c r="AR38" s="24"/>
      <c r="AS38" s="24"/>
      <c r="AT38" s="24"/>
      <c r="AU38" s="24"/>
      <c r="AV38" s="24"/>
      <c r="AX38" s="1">
        <v>31</v>
      </c>
      <c r="AY38" s="25">
        <v>0.2</v>
      </c>
      <c r="AZ38" s="25">
        <v>2.2799999999999998</v>
      </c>
      <c r="BA38" s="25">
        <v>0.3</v>
      </c>
      <c r="BB38" s="25">
        <v>1.53</v>
      </c>
      <c r="BC38" s="25">
        <v>0.4</v>
      </c>
      <c r="BD38" s="25">
        <v>1.17</v>
      </c>
      <c r="BF38" s="1">
        <v>31</v>
      </c>
      <c r="BG38" s="24"/>
      <c r="BH38" s="24"/>
      <c r="BI38" s="23"/>
      <c r="BJ38" s="23"/>
      <c r="BK38" s="25">
        <v>0.2</v>
      </c>
      <c r="BL38" s="25">
        <v>1.44</v>
      </c>
      <c r="BN38" s="1">
        <v>31</v>
      </c>
      <c r="BO38" s="25">
        <v>0.5</v>
      </c>
      <c r="BP38" s="25">
        <v>2.21</v>
      </c>
      <c r="BQ38" s="25">
        <v>0.8</v>
      </c>
      <c r="BR38" s="25">
        <v>1.45</v>
      </c>
      <c r="BS38" s="25">
        <v>1</v>
      </c>
      <c r="BT38" s="25">
        <v>1.1299999999999999</v>
      </c>
      <c r="BV38" s="1">
        <v>31</v>
      </c>
      <c r="BW38" s="25">
        <v>0.2</v>
      </c>
      <c r="BX38" s="25">
        <v>2.99</v>
      </c>
      <c r="BY38" s="25">
        <v>0.4</v>
      </c>
      <c r="BZ38" s="25">
        <v>1.79</v>
      </c>
      <c r="CA38" s="25">
        <v>0.5</v>
      </c>
      <c r="CB38" s="25">
        <v>1.4</v>
      </c>
    </row>
    <row r="39" spans="1:80" x14ac:dyDescent="0.3">
      <c r="A39" s="1">
        <v>32</v>
      </c>
      <c r="B39" s="1">
        <v>0.4</v>
      </c>
      <c r="C39" s="1">
        <v>1.63</v>
      </c>
      <c r="D39" s="1">
        <v>0.7</v>
      </c>
      <c r="E39" s="1">
        <v>1.1200000000000001</v>
      </c>
      <c r="F39" s="1">
        <v>1.1000000000000001</v>
      </c>
      <c r="G39" s="1">
        <v>0.86</v>
      </c>
      <c r="J39" s="1">
        <v>32</v>
      </c>
      <c r="K39" s="23"/>
      <c r="L39" s="23"/>
      <c r="M39" s="1">
        <v>0.3</v>
      </c>
      <c r="N39" s="1">
        <v>1.45</v>
      </c>
      <c r="O39" s="1">
        <v>0.5</v>
      </c>
      <c r="P39" s="1">
        <v>1.0900000000000001</v>
      </c>
      <c r="R39" s="1">
        <v>32</v>
      </c>
      <c r="S39" s="24"/>
      <c r="T39" s="24"/>
      <c r="U39" s="24"/>
      <c r="V39" s="24"/>
      <c r="W39" s="24"/>
      <c r="X39" s="24"/>
      <c r="Z39" s="1">
        <v>32</v>
      </c>
      <c r="AA39" s="24"/>
      <c r="AB39" s="24"/>
      <c r="AC39" s="24"/>
      <c r="AD39" s="24"/>
      <c r="AE39" s="24"/>
      <c r="AF39" s="24"/>
      <c r="AH39" s="1">
        <v>32</v>
      </c>
      <c r="AI39" s="24"/>
      <c r="AJ39" s="24"/>
      <c r="AK39" s="24"/>
      <c r="AL39" s="24"/>
      <c r="AM39" s="24"/>
      <c r="AN39" s="24"/>
      <c r="AP39" s="1">
        <v>32</v>
      </c>
      <c r="AQ39" s="24"/>
      <c r="AR39" s="24"/>
      <c r="AS39" s="24"/>
      <c r="AT39" s="24"/>
      <c r="AU39" s="24"/>
      <c r="AV39" s="24"/>
      <c r="AX39" s="1">
        <v>32</v>
      </c>
      <c r="AY39" s="25">
        <v>0.2</v>
      </c>
      <c r="AZ39" s="25">
        <v>2.33</v>
      </c>
      <c r="BA39" s="25">
        <v>0.3</v>
      </c>
      <c r="BB39" s="25">
        <v>1.56</v>
      </c>
      <c r="BC39" s="25">
        <v>0.4</v>
      </c>
      <c r="BD39" s="25">
        <v>1.19</v>
      </c>
      <c r="BF39" s="1">
        <v>32</v>
      </c>
      <c r="BG39" s="24"/>
      <c r="BH39" s="24"/>
      <c r="BI39" s="23"/>
      <c r="BJ39" s="23"/>
      <c r="BK39" s="25">
        <v>0.2</v>
      </c>
      <c r="BL39" s="25">
        <v>1.47</v>
      </c>
      <c r="BN39" s="1">
        <v>32</v>
      </c>
      <c r="BO39" s="25">
        <v>0.5</v>
      </c>
      <c r="BP39" s="25">
        <v>2.25</v>
      </c>
      <c r="BQ39" s="25">
        <v>0.8</v>
      </c>
      <c r="BR39" s="25">
        <v>1.48</v>
      </c>
      <c r="BS39" s="25">
        <v>1</v>
      </c>
      <c r="BT39" s="25">
        <v>1.1599999999999999</v>
      </c>
      <c r="BV39" s="1">
        <v>32</v>
      </c>
      <c r="BW39" s="25">
        <v>0.2</v>
      </c>
      <c r="BX39" s="25">
        <v>3.06</v>
      </c>
      <c r="BY39" s="25">
        <v>0.4</v>
      </c>
      <c r="BZ39" s="25">
        <v>1.83</v>
      </c>
      <c r="CA39" s="25">
        <v>0.5</v>
      </c>
      <c r="CB39" s="25">
        <v>1.43</v>
      </c>
    </row>
    <row r="40" spans="1:80" x14ac:dyDescent="0.3">
      <c r="A40" s="1">
        <v>33</v>
      </c>
      <c r="B40" s="1">
        <v>0.4</v>
      </c>
      <c r="C40" s="1">
        <v>1.65</v>
      </c>
      <c r="D40" s="1">
        <v>0.7</v>
      </c>
      <c r="E40" s="1">
        <v>1.1299999999999999</v>
      </c>
      <c r="F40" s="1">
        <v>1</v>
      </c>
      <c r="G40" s="1">
        <v>0.89</v>
      </c>
      <c r="J40" s="1">
        <v>33</v>
      </c>
      <c r="K40" s="23"/>
      <c r="L40" s="23"/>
      <c r="M40" s="1">
        <v>0.3</v>
      </c>
      <c r="N40" s="1">
        <v>1.47</v>
      </c>
      <c r="O40" s="1">
        <v>0.5</v>
      </c>
      <c r="P40" s="1">
        <v>1.1000000000000001</v>
      </c>
      <c r="R40" s="1">
        <v>33</v>
      </c>
      <c r="S40" s="24"/>
      <c r="T40" s="24"/>
      <c r="U40" s="24"/>
      <c r="V40" s="24"/>
      <c r="W40" s="24"/>
      <c r="X40" s="24"/>
      <c r="Z40" s="1">
        <v>33</v>
      </c>
      <c r="AA40" s="24"/>
      <c r="AB40" s="24"/>
      <c r="AC40" s="24"/>
      <c r="AD40" s="24"/>
      <c r="AE40" s="24"/>
      <c r="AF40" s="24"/>
      <c r="AH40" s="1">
        <v>33</v>
      </c>
      <c r="AI40" s="24"/>
      <c r="AJ40" s="24"/>
      <c r="AK40" s="24"/>
      <c r="AL40" s="24"/>
      <c r="AM40" s="24"/>
      <c r="AN40" s="24"/>
      <c r="AP40" s="1">
        <v>33</v>
      </c>
      <c r="AQ40" s="24"/>
      <c r="AR40" s="24"/>
      <c r="AS40" s="24"/>
      <c r="AT40" s="24"/>
      <c r="AU40" s="24"/>
      <c r="AV40" s="24"/>
      <c r="AX40" s="1">
        <v>33</v>
      </c>
      <c r="AY40" s="25">
        <v>0.2</v>
      </c>
      <c r="AZ40" s="25">
        <v>2.38</v>
      </c>
      <c r="BA40" s="25">
        <v>0.3</v>
      </c>
      <c r="BB40" s="25">
        <v>1.59</v>
      </c>
      <c r="BC40" s="25">
        <v>0.4</v>
      </c>
      <c r="BD40" s="25">
        <v>1.22</v>
      </c>
      <c r="BF40" s="1">
        <v>33</v>
      </c>
      <c r="BG40" s="24"/>
      <c r="BH40" s="24"/>
      <c r="BI40" s="23"/>
      <c r="BJ40" s="23"/>
      <c r="BK40" s="25">
        <v>0.2</v>
      </c>
      <c r="BL40" s="25">
        <v>1.5</v>
      </c>
      <c r="BN40" s="1">
        <v>33</v>
      </c>
      <c r="BO40" s="25">
        <v>0.5</v>
      </c>
      <c r="BP40" s="25">
        <v>2.2999999999999998</v>
      </c>
      <c r="BQ40" s="25">
        <v>0.7</v>
      </c>
      <c r="BR40" s="25">
        <v>1.57</v>
      </c>
      <c r="BS40" s="25">
        <v>1</v>
      </c>
      <c r="BT40" s="25">
        <v>1.18</v>
      </c>
      <c r="BV40" s="1">
        <v>33</v>
      </c>
      <c r="BW40" s="25">
        <v>0.2</v>
      </c>
      <c r="BX40" s="25">
        <v>3.12</v>
      </c>
      <c r="BY40" s="25">
        <v>0.3</v>
      </c>
      <c r="BZ40" s="25">
        <v>2.04</v>
      </c>
      <c r="CA40" s="25">
        <v>0.5</v>
      </c>
      <c r="CB40" s="25">
        <v>1.45</v>
      </c>
    </row>
    <row r="41" spans="1:80" x14ac:dyDescent="0.3">
      <c r="A41" s="1">
        <v>34</v>
      </c>
      <c r="B41" s="1">
        <v>0.4</v>
      </c>
      <c r="C41" s="1">
        <v>1.68</v>
      </c>
      <c r="D41" s="1">
        <v>0.7</v>
      </c>
      <c r="E41" s="1">
        <v>1.1499999999999999</v>
      </c>
      <c r="F41" s="1">
        <v>1</v>
      </c>
      <c r="G41" s="1">
        <v>0.9</v>
      </c>
      <c r="J41" s="1">
        <v>34</v>
      </c>
      <c r="K41" s="23"/>
      <c r="L41" s="23"/>
      <c r="M41" s="1">
        <v>0.3</v>
      </c>
      <c r="N41" s="1">
        <v>1.49</v>
      </c>
      <c r="O41" s="1">
        <v>0.5</v>
      </c>
      <c r="P41" s="1">
        <v>1.1100000000000001</v>
      </c>
      <c r="R41" s="1">
        <v>34</v>
      </c>
      <c r="S41" s="24"/>
      <c r="T41" s="24"/>
      <c r="U41" s="24"/>
      <c r="V41" s="24"/>
      <c r="W41" s="24"/>
      <c r="X41" s="24"/>
      <c r="Z41" s="1">
        <v>34</v>
      </c>
      <c r="AA41" s="24"/>
      <c r="AB41" s="24"/>
      <c r="AC41" s="24"/>
      <c r="AD41" s="24"/>
      <c r="AE41" s="24"/>
      <c r="AF41" s="24"/>
      <c r="AH41" s="1">
        <v>34</v>
      </c>
      <c r="AI41" s="24"/>
      <c r="AJ41" s="24"/>
      <c r="AK41" s="24"/>
      <c r="AL41" s="24"/>
      <c r="AM41" s="24"/>
      <c r="AN41" s="24"/>
      <c r="AP41" s="1">
        <v>34</v>
      </c>
      <c r="AQ41" s="24"/>
      <c r="AR41" s="24"/>
      <c r="AS41" s="24"/>
      <c r="AT41" s="24"/>
      <c r="AU41" s="24"/>
      <c r="AV41" s="24"/>
      <c r="AX41" s="1">
        <v>34</v>
      </c>
      <c r="AY41" s="25">
        <v>0.2</v>
      </c>
      <c r="AZ41" s="25">
        <v>2.4300000000000002</v>
      </c>
      <c r="BA41" s="25">
        <v>0.3</v>
      </c>
      <c r="BB41" s="25">
        <v>1.62</v>
      </c>
      <c r="BC41" s="25">
        <v>0.4</v>
      </c>
      <c r="BD41" s="25">
        <v>1.24</v>
      </c>
      <c r="BF41" s="1">
        <v>34</v>
      </c>
      <c r="BG41" s="24"/>
      <c r="BH41" s="24"/>
      <c r="BI41" s="23"/>
      <c r="BJ41" s="23"/>
      <c r="BK41" s="25">
        <v>0.2</v>
      </c>
      <c r="BL41" s="25">
        <v>1.53</v>
      </c>
      <c r="BN41" s="1">
        <v>34</v>
      </c>
      <c r="BO41" s="25">
        <v>0.5</v>
      </c>
      <c r="BP41" s="25">
        <v>2.34</v>
      </c>
      <c r="BQ41" s="25">
        <v>0.7</v>
      </c>
      <c r="BR41" s="25">
        <v>1.6</v>
      </c>
      <c r="BS41" s="25">
        <v>1</v>
      </c>
      <c r="BT41" s="25">
        <v>1.2</v>
      </c>
      <c r="BV41" s="1">
        <v>34</v>
      </c>
      <c r="BW41" s="25">
        <v>0.2</v>
      </c>
      <c r="BX41" s="25">
        <v>3.19</v>
      </c>
      <c r="BY41" s="25">
        <v>0.3</v>
      </c>
      <c r="BZ41" s="25">
        <v>2.08</v>
      </c>
      <c r="CA41" s="25">
        <v>0.4</v>
      </c>
      <c r="CB41" s="25">
        <v>1.58</v>
      </c>
    </row>
    <row r="42" spans="1:80" x14ac:dyDescent="0.3">
      <c r="A42" s="1">
        <v>35</v>
      </c>
      <c r="B42" s="1">
        <v>0.3</v>
      </c>
      <c r="C42" s="1">
        <v>1.87</v>
      </c>
      <c r="D42" s="1">
        <v>0.6</v>
      </c>
      <c r="E42" s="1">
        <v>1.22</v>
      </c>
      <c r="F42" s="1">
        <v>1</v>
      </c>
      <c r="G42" s="1">
        <v>0.91</v>
      </c>
      <c r="J42" s="1">
        <v>35</v>
      </c>
      <c r="K42" s="23"/>
      <c r="L42" s="23"/>
      <c r="M42" s="1">
        <v>0.3</v>
      </c>
      <c r="N42" s="1">
        <v>1.51</v>
      </c>
      <c r="O42" s="1">
        <v>0.5</v>
      </c>
      <c r="P42" s="1">
        <v>1.1299999999999999</v>
      </c>
      <c r="R42" s="1">
        <v>35</v>
      </c>
      <c r="S42" s="24"/>
      <c r="T42" s="24"/>
      <c r="U42" s="24"/>
      <c r="V42" s="24"/>
      <c r="W42" s="24"/>
      <c r="X42" s="24"/>
      <c r="Z42" s="1">
        <v>35</v>
      </c>
      <c r="AA42" s="24"/>
      <c r="AB42" s="24"/>
      <c r="AC42" s="24"/>
      <c r="AD42" s="24"/>
      <c r="AE42" s="24"/>
      <c r="AF42" s="24"/>
      <c r="AH42" s="1">
        <v>35</v>
      </c>
      <c r="AI42" s="24"/>
      <c r="AJ42" s="24"/>
      <c r="AK42" s="24"/>
      <c r="AL42" s="24"/>
      <c r="AM42" s="24"/>
      <c r="AN42" s="24"/>
      <c r="AP42" s="1">
        <v>35</v>
      </c>
      <c r="AQ42" s="24"/>
      <c r="AR42" s="24"/>
      <c r="AS42" s="24"/>
      <c r="AT42" s="24"/>
      <c r="AU42" s="24"/>
      <c r="AV42" s="24"/>
      <c r="AX42" s="1">
        <v>35</v>
      </c>
      <c r="AY42" s="25">
        <v>0.2</v>
      </c>
      <c r="AZ42" s="25">
        <v>2.4700000000000002</v>
      </c>
      <c r="BA42" s="25">
        <v>0.3</v>
      </c>
      <c r="BB42" s="25">
        <v>1.65</v>
      </c>
      <c r="BC42" s="25">
        <v>0.4</v>
      </c>
      <c r="BD42" s="25">
        <v>1.26</v>
      </c>
      <c r="BF42" s="1">
        <v>35</v>
      </c>
      <c r="BG42" s="24"/>
      <c r="BH42" s="24"/>
      <c r="BI42" s="23"/>
      <c r="BJ42" s="23"/>
      <c r="BK42" s="25">
        <v>0.2</v>
      </c>
      <c r="BL42" s="25">
        <v>1.55</v>
      </c>
      <c r="BN42" s="1">
        <v>35</v>
      </c>
      <c r="BO42" s="25">
        <v>0.5</v>
      </c>
      <c r="BP42" s="25">
        <v>2.39</v>
      </c>
      <c r="BQ42" s="25">
        <v>0.7</v>
      </c>
      <c r="BR42" s="25">
        <v>1.63</v>
      </c>
      <c r="BS42" s="25">
        <v>0.9</v>
      </c>
      <c r="BT42" s="25">
        <v>1.26</v>
      </c>
      <c r="BV42" s="1">
        <v>35</v>
      </c>
      <c r="BW42" s="25">
        <v>0.2</v>
      </c>
      <c r="BX42" s="25">
        <v>3.25</v>
      </c>
      <c r="BY42" s="25">
        <v>0.3</v>
      </c>
      <c r="BZ42" s="25">
        <v>2.12</v>
      </c>
      <c r="CA42" s="25">
        <v>0.4</v>
      </c>
      <c r="CB42" s="25">
        <v>1.61</v>
      </c>
    </row>
    <row r="43" spans="1:80" x14ac:dyDescent="0.3">
      <c r="A43" s="1">
        <v>36</v>
      </c>
      <c r="B43" s="1">
        <v>0.3</v>
      </c>
      <c r="C43" s="1">
        <v>1.89</v>
      </c>
      <c r="D43" s="1">
        <v>0.6</v>
      </c>
      <c r="E43" s="1">
        <v>1.23</v>
      </c>
      <c r="F43" s="1">
        <v>0.9</v>
      </c>
      <c r="G43" s="1">
        <v>0.96</v>
      </c>
      <c r="J43" s="1">
        <v>36</v>
      </c>
      <c r="K43" s="23"/>
      <c r="L43" s="23"/>
      <c r="M43" s="1">
        <v>0.3</v>
      </c>
      <c r="N43" s="1">
        <v>1.53</v>
      </c>
      <c r="O43" s="1">
        <v>0.4</v>
      </c>
      <c r="P43" s="1">
        <v>1.22</v>
      </c>
      <c r="R43" s="1">
        <v>36</v>
      </c>
      <c r="S43" s="24"/>
      <c r="T43" s="24"/>
      <c r="U43" s="24"/>
      <c r="V43" s="24"/>
      <c r="W43" s="24"/>
      <c r="X43" s="24"/>
      <c r="Z43" s="1">
        <v>36</v>
      </c>
      <c r="AA43" s="24"/>
      <c r="AB43" s="24"/>
      <c r="AC43" s="24"/>
      <c r="AD43" s="24"/>
      <c r="AE43" s="24"/>
      <c r="AF43" s="24"/>
      <c r="AH43" s="1">
        <v>36</v>
      </c>
      <c r="AI43" s="24"/>
      <c r="AJ43" s="24"/>
      <c r="AK43" s="24"/>
      <c r="AL43" s="24"/>
      <c r="AM43" s="24"/>
      <c r="AN43" s="24"/>
      <c r="AP43" s="1">
        <v>36</v>
      </c>
      <c r="AQ43" s="24"/>
      <c r="AR43" s="24"/>
      <c r="AS43" s="24"/>
      <c r="AT43" s="24"/>
      <c r="AU43" s="24"/>
      <c r="AV43" s="24"/>
      <c r="AX43" s="1">
        <v>36</v>
      </c>
      <c r="AY43" s="25">
        <v>0.2</v>
      </c>
      <c r="AZ43" s="25">
        <v>2.52</v>
      </c>
      <c r="BA43" s="25">
        <v>0.3</v>
      </c>
      <c r="BB43" s="25">
        <v>1.67</v>
      </c>
      <c r="BC43" s="25">
        <v>0.4</v>
      </c>
      <c r="BD43" s="25">
        <v>1.28</v>
      </c>
      <c r="BF43" s="1">
        <v>36</v>
      </c>
      <c r="BG43" s="24"/>
      <c r="BH43" s="24"/>
      <c r="BI43" s="23"/>
      <c r="BJ43" s="23"/>
      <c r="BK43" s="25">
        <v>0.2</v>
      </c>
      <c r="BL43" s="25">
        <v>1.58</v>
      </c>
      <c r="BN43" s="1">
        <v>36</v>
      </c>
      <c r="BO43" s="25">
        <v>0.4</v>
      </c>
      <c r="BP43" s="25">
        <v>2.62</v>
      </c>
      <c r="BQ43" s="25">
        <v>0.7</v>
      </c>
      <c r="BR43" s="25">
        <v>1.66</v>
      </c>
      <c r="BS43" s="25">
        <v>0.9</v>
      </c>
      <c r="BT43" s="25">
        <v>1.28</v>
      </c>
      <c r="BV43" s="1">
        <v>36</v>
      </c>
      <c r="BW43" s="25">
        <v>0.2</v>
      </c>
      <c r="BX43" s="25">
        <v>3.31</v>
      </c>
      <c r="BY43" s="25">
        <v>0.3</v>
      </c>
      <c r="BZ43" s="25">
        <v>2.15</v>
      </c>
      <c r="CA43" s="25">
        <v>0.4</v>
      </c>
      <c r="CB43" s="25">
        <v>1.64</v>
      </c>
    </row>
    <row r="44" spans="1:80" x14ac:dyDescent="0.3">
      <c r="A44" s="1">
        <v>37</v>
      </c>
      <c r="B44" s="1">
        <v>0.3</v>
      </c>
      <c r="C44" s="1">
        <v>1.92</v>
      </c>
      <c r="D44" s="1">
        <v>0.6</v>
      </c>
      <c r="E44" s="1">
        <v>1.25</v>
      </c>
      <c r="F44" s="1">
        <v>0.9</v>
      </c>
      <c r="G44" s="1">
        <v>0.97</v>
      </c>
      <c r="J44" s="1">
        <v>37</v>
      </c>
      <c r="K44" s="23"/>
      <c r="L44" s="23"/>
      <c r="M44" s="1">
        <v>0.3</v>
      </c>
      <c r="N44" s="1">
        <v>1.55</v>
      </c>
      <c r="O44" s="1">
        <v>0.4</v>
      </c>
      <c r="P44" s="1">
        <v>1.24</v>
      </c>
      <c r="R44" s="1">
        <v>37</v>
      </c>
      <c r="S44" s="24"/>
      <c r="T44" s="24"/>
      <c r="U44" s="24"/>
      <c r="V44" s="24"/>
      <c r="W44" s="24"/>
      <c r="X44" s="24"/>
      <c r="Z44" s="1">
        <v>37</v>
      </c>
      <c r="AA44" s="24"/>
      <c r="AB44" s="24"/>
      <c r="AC44" s="24"/>
      <c r="AD44" s="24"/>
      <c r="AE44" s="24"/>
      <c r="AF44" s="24"/>
      <c r="AH44" s="1">
        <v>37</v>
      </c>
      <c r="AI44" s="24"/>
      <c r="AJ44" s="24"/>
      <c r="AK44" s="24"/>
      <c r="AL44" s="24"/>
      <c r="AM44" s="24"/>
      <c r="AN44" s="24"/>
      <c r="AP44" s="1">
        <v>37</v>
      </c>
      <c r="AQ44" s="24"/>
      <c r="AR44" s="24"/>
      <c r="AS44" s="24"/>
      <c r="AT44" s="24"/>
      <c r="AU44" s="24"/>
      <c r="AV44" s="24"/>
      <c r="AX44" s="1">
        <v>37</v>
      </c>
      <c r="AY44" s="25">
        <v>0.2</v>
      </c>
      <c r="AZ44" s="25">
        <v>2.56</v>
      </c>
      <c r="BA44" s="25">
        <v>0.3</v>
      </c>
      <c r="BB44" s="25">
        <v>1.7</v>
      </c>
      <c r="BC44" s="25">
        <v>0.3</v>
      </c>
      <c r="BD44" s="25">
        <v>1.42</v>
      </c>
      <c r="BF44" s="1">
        <v>37</v>
      </c>
      <c r="BG44" s="24"/>
      <c r="BH44" s="24"/>
      <c r="BI44" s="23"/>
      <c r="BJ44" s="23"/>
      <c r="BK44" s="25">
        <v>0.2</v>
      </c>
      <c r="BL44" s="25">
        <v>1.61</v>
      </c>
      <c r="BN44" s="1">
        <v>37</v>
      </c>
      <c r="BO44" s="25">
        <v>0.4</v>
      </c>
      <c r="BP44" s="25">
        <v>2.67</v>
      </c>
      <c r="BQ44" s="25">
        <v>0.7</v>
      </c>
      <c r="BR44" s="25">
        <v>1.68</v>
      </c>
      <c r="BS44" s="25">
        <v>0.9</v>
      </c>
      <c r="BT44" s="25">
        <v>1.3</v>
      </c>
      <c r="BV44" s="1">
        <v>37</v>
      </c>
      <c r="BW44" s="25">
        <v>0.2</v>
      </c>
      <c r="BX44" s="25">
        <v>3.38</v>
      </c>
      <c r="BY44" s="25">
        <v>0.3</v>
      </c>
      <c r="BZ44" s="25">
        <v>2.19</v>
      </c>
      <c r="CA44" s="25">
        <v>0.4</v>
      </c>
      <c r="CB44" s="25">
        <v>1.67</v>
      </c>
    </row>
    <row r="45" spans="1:80" x14ac:dyDescent="0.3">
      <c r="A45" s="1">
        <v>38</v>
      </c>
      <c r="B45" s="1">
        <v>0.3</v>
      </c>
      <c r="C45" s="1">
        <v>1.95</v>
      </c>
      <c r="D45" s="1">
        <v>0.6</v>
      </c>
      <c r="E45" s="1">
        <v>1.26</v>
      </c>
      <c r="F45" s="1">
        <v>0.9</v>
      </c>
      <c r="G45" s="1">
        <v>0.98</v>
      </c>
      <c r="J45" s="1">
        <v>38</v>
      </c>
      <c r="K45" s="23"/>
      <c r="L45" s="23"/>
      <c r="M45" s="1">
        <v>0.3</v>
      </c>
      <c r="N45" s="1">
        <v>1.56</v>
      </c>
      <c r="O45" s="1">
        <v>0.4</v>
      </c>
      <c r="P45" s="1">
        <v>1.25</v>
      </c>
      <c r="R45" s="1">
        <v>38</v>
      </c>
      <c r="S45" s="24"/>
      <c r="T45" s="24"/>
      <c r="U45" s="24"/>
      <c r="V45" s="24"/>
      <c r="W45" s="24"/>
      <c r="X45" s="24"/>
      <c r="Z45" s="1">
        <v>38</v>
      </c>
      <c r="AA45" s="24"/>
      <c r="AB45" s="24"/>
      <c r="AC45" s="24"/>
      <c r="AD45" s="24"/>
      <c r="AE45" s="24"/>
      <c r="AF45" s="24"/>
      <c r="AH45" s="1">
        <v>38</v>
      </c>
      <c r="AI45" s="24"/>
      <c r="AJ45" s="24"/>
      <c r="AK45" s="24"/>
      <c r="AL45" s="24"/>
      <c r="AM45" s="24"/>
      <c r="AN45" s="24"/>
      <c r="AP45" s="1">
        <v>38</v>
      </c>
      <c r="AQ45" s="24"/>
      <c r="AR45" s="24"/>
      <c r="AS45" s="24"/>
      <c r="AT45" s="24"/>
      <c r="AU45" s="24"/>
      <c r="AV45" s="24"/>
      <c r="AX45" s="1">
        <v>38</v>
      </c>
      <c r="AY45" s="25">
        <v>0.2</v>
      </c>
      <c r="AZ45" s="25">
        <v>2.61</v>
      </c>
      <c r="BA45" s="25">
        <v>0.3</v>
      </c>
      <c r="BB45" s="25">
        <v>1.73</v>
      </c>
      <c r="BC45" s="25">
        <v>0.3</v>
      </c>
      <c r="BD45" s="25">
        <v>1.45</v>
      </c>
      <c r="BF45" s="1">
        <v>38</v>
      </c>
      <c r="BG45" s="24"/>
      <c r="BH45" s="24"/>
      <c r="BI45" s="23"/>
      <c r="BJ45" s="23"/>
      <c r="BK45" s="23"/>
      <c r="BL45" s="23"/>
      <c r="BN45" s="1">
        <v>38</v>
      </c>
      <c r="BO45" s="25">
        <v>0.4</v>
      </c>
      <c r="BP45" s="25">
        <v>2.72</v>
      </c>
      <c r="BQ45" s="25">
        <v>0.6</v>
      </c>
      <c r="BR45" s="25">
        <v>1.8</v>
      </c>
      <c r="BS45" s="25">
        <v>0.9</v>
      </c>
      <c r="BT45" s="25">
        <v>1.32</v>
      </c>
      <c r="BV45" s="1">
        <v>38</v>
      </c>
      <c r="BW45" s="25">
        <v>0.2</v>
      </c>
      <c r="BX45" s="25">
        <v>3.44</v>
      </c>
      <c r="BY45" s="25">
        <v>0.3</v>
      </c>
      <c r="BZ45" s="25">
        <v>2.23</v>
      </c>
      <c r="CA45" s="25">
        <v>0.4</v>
      </c>
      <c r="CB45" s="25">
        <v>1.69</v>
      </c>
    </row>
    <row r="46" spans="1:80" x14ac:dyDescent="0.3">
      <c r="A46" s="1">
        <v>39</v>
      </c>
      <c r="B46" s="1">
        <v>0.3</v>
      </c>
      <c r="C46" s="1">
        <v>1.97</v>
      </c>
      <c r="D46" s="1">
        <v>0.5</v>
      </c>
      <c r="E46" s="1">
        <v>1.35</v>
      </c>
      <c r="F46" s="1">
        <v>0.8</v>
      </c>
      <c r="G46" s="1">
        <v>1.03</v>
      </c>
      <c r="J46" s="1">
        <v>39</v>
      </c>
      <c r="K46" s="23"/>
      <c r="L46" s="23"/>
      <c r="M46" s="1">
        <v>0.2</v>
      </c>
      <c r="N46" s="1">
        <v>1.8</v>
      </c>
      <c r="O46" s="1">
        <v>0.4</v>
      </c>
      <c r="P46" s="1">
        <v>1.27</v>
      </c>
      <c r="R46" s="1">
        <v>39</v>
      </c>
      <c r="S46" s="24"/>
      <c r="T46" s="24"/>
      <c r="U46" s="24"/>
      <c r="V46" s="24"/>
      <c r="W46" s="24"/>
      <c r="X46" s="24"/>
      <c r="Z46" s="1">
        <v>39</v>
      </c>
      <c r="AA46" s="24"/>
      <c r="AB46" s="24"/>
      <c r="AC46" s="24"/>
      <c r="AD46" s="24"/>
      <c r="AE46" s="24"/>
      <c r="AF46" s="24"/>
      <c r="AH46" s="1">
        <v>39</v>
      </c>
      <c r="AI46" s="24"/>
      <c r="AJ46" s="24"/>
      <c r="AK46" s="24"/>
      <c r="AL46" s="24"/>
      <c r="AM46" s="24"/>
      <c r="AN46" s="24"/>
      <c r="AP46" s="1">
        <v>39</v>
      </c>
      <c r="AQ46" s="24"/>
      <c r="AR46" s="24"/>
      <c r="AS46" s="24"/>
      <c r="AT46" s="24"/>
      <c r="AU46" s="24"/>
      <c r="AV46" s="24"/>
      <c r="AX46" s="1">
        <v>39</v>
      </c>
      <c r="AY46" s="23"/>
      <c r="AZ46" s="23"/>
      <c r="BA46" s="25">
        <v>0.3</v>
      </c>
      <c r="BB46" s="25">
        <v>1.76</v>
      </c>
      <c r="BC46" s="25">
        <v>0.3</v>
      </c>
      <c r="BD46" s="25">
        <v>1.47</v>
      </c>
      <c r="BF46" s="1">
        <v>39</v>
      </c>
      <c r="BG46" s="24"/>
      <c r="BH46" s="24"/>
      <c r="BI46" s="23"/>
      <c r="BJ46" s="23"/>
      <c r="BK46" s="23"/>
      <c r="BL46" s="23"/>
      <c r="BN46" s="1">
        <v>39</v>
      </c>
      <c r="BO46" s="25">
        <v>0.4</v>
      </c>
      <c r="BP46" s="25">
        <v>2.76</v>
      </c>
      <c r="BQ46" s="25">
        <v>0.6</v>
      </c>
      <c r="BR46" s="25">
        <v>1.82</v>
      </c>
      <c r="BS46" s="25">
        <v>0.8</v>
      </c>
      <c r="BT46" s="25">
        <v>1.39</v>
      </c>
      <c r="BV46" s="1">
        <v>39</v>
      </c>
      <c r="BW46" s="25">
        <v>0.2</v>
      </c>
      <c r="BX46" s="25">
        <v>3.5</v>
      </c>
      <c r="BY46" s="25">
        <v>0.3</v>
      </c>
      <c r="BZ46" s="25">
        <v>2.2599999999999998</v>
      </c>
      <c r="CA46" s="25">
        <v>0.4</v>
      </c>
      <c r="CB46" s="25">
        <v>1.72</v>
      </c>
    </row>
    <row r="47" spans="1:80" x14ac:dyDescent="0.3">
      <c r="A47" s="1">
        <v>40</v>
      </c>
      <c r="B47" s="1">
        <v>0.3</v>
      </c>
      <c r="C47" s="1">
        <v>2</v>
      </c>
      <c r="D47" s="1">
        <v>0.5</v>
      </c>
      <c r="E47" s="1">
        <v>1.37</v>
      </c>
      <c r="F47" s="1">
        <v>0.8</v>
      </c>
      <c r="G47" s="1">
        <v>1.04</v>
      </c>
      <c r="J47" s="1">
        <v>40</v>
      </c>
      <c r="K47" s="23"/>
      <c r="L47" s="23"/>
      <c r="M47" s="1">
        <v>0.2</v>
      </c>
      <c r="N47" s="1">
        <v>1.82</v>
      </c>
      <c r="O47" s="1">
        <v>0.4</v>
      </c>
      <c r="P47" s="1">
        <v>1.28</v>
      </c>
      <c r="R47" s="1">
        <v>40</v>
      </c>
      <c r="S47" s="24"/>
      <c r="T47" s="24"/>
      <c r="U47" s="24"/>
      <c r="V47" s="24"/>
      <c r="W47" s="24"/>
      <c r="X47" s="24"/>
      <c r="Z47" s="1">
        <v>40</v>
      </c>
      <c r="AA47" s="24"/>
      <c r="AB47" s="24"/>
      <c r="AC47" s="24"/>
      <c r="AD47" s="24"/>
      <c r="AE47" s="24"/>
      <c r="AF47" s="24"/>
      <c r="AH47" s="1">
        <v>40</v>
      </c>
      <c r="AI47" s="24"/>
      <c r="AJ47" s="24"/>
      <c r="AK47" s="24"/>
      <c r="AL47" s="24"/>
      <c r="AM47" s="24"/>
      <c r="AN47" s="24"/>
      <c r="AP47" s="1">
        <v>40</v>
      </c>
      <c r="AQ47" s="24"/>
      <c r="AR47" s="24"/>
      <c r="AS47" s="24"/>
      <c r="AT47" s="24"/>
      <c r="AU47" s="24"/>
      <c r="AV47" s="24"/>
      <c r="AX47" s="1">
        <v>40</v>
      </c>
      <c r="AY47" s="23"/>
      <c r="AZ47" s="23"/>
      <c r="BA47" s="25">
        <v>0.2</v>
      </c>
      <c r="BB47" s="25">
        <v>1.79</v>
      </c>
      <c r="BC47" s="25">
        <v>0.3</v>
      </c>
      <c r="BD47" s="25">
        <v>1.49</v>
      </c>
      <c r="BF47" s="1">
        <v>40</v>
      </c>
      <c r="BG47" s="24"/>
      <c r="BH47" s="24"/>
      <c r="BI47" s="23"/>
      <c r="BJ47" s="23"/>
      <c r="BK47" s="23"/>
      <c r="BL47" s="23"/>
      <c r="BN47" s="1">
        <v>40</v>
      </c>
      <c r="BO47" s="25">
        <v>0.4</v>
      </c>
      <c r="BP47" s="25">
        <v>2.81</v>
      </c>
      <c r="BQ47" s="25">
        <v>0.6</v>
      </c>
      <c r="BR47" s="25">
        <v>1.85</v>
      </c>
      <c r="BS47" s="25">
        <v>0.8</v>
      </c>
      <c r="BT47" s="25">
        <v>1.42</v>
      </c>
      <c r="BV47" s="1">
        <v>40</v>
      </c>
      <c r="BW47" s="25">
        <v>0.2</v>
      </c>
      <c r="BX47" s="25">
        <v>3.57</v>
      </c>
      <c r="BY47" s="25">
        <v>0.3</v>
      </c>
      <c r="BZ47" s="25">
        <v>2.2999999999999998</v>
      </c>
      <c r="CA47" s="25">
        <v>0.4</v>
      </c>
      <c r="CB47" s="25">
        <v>1.75</v>
      </c>
    </row>
    <row r="54" spans="2:3" x14ac:dyDescent="0.3">
      <c r="B54" s="7"/>
    </row>
    <row r="55" spans="2:3" x14ac:dyDescent="0.3">
      <c r="B55" s="7"/>
    </row>
    <row r="56" spans="2:3" x14ac:dyDescent="0.3">
      <c r="B56" s="7"/>
    </row>
    <row r="57" spans="2:3" x14ac:dyDescent="0.3">
      <c r="B57" s="7"/>
    </row>
    <row r="58" spans="2:3" x14ac:dyDescent="0.3">
      <c r="B58" s="7"/>
    </row>
    <row r="62" spans="2:3" x14ac:dyDescent="0.3">
      <c r="B62" s="12"/>
      <c r="C62" s="11"/>
    </row>
    <row r="63" spans="2:3" x14ac:dyDescent="0.3">
      <c r="B63" s="12"/>
      <c r="C63" s="11"/>
    </row>
    <row r="64" spans="2:3" x14ac:dyDescent="0.3">
      <c r="B64" s="12"/>
      <c r="C64" s="11"/>
    </row>
    <row r="65" spans="2:3" x14ac:dyDescent="0.3">
      <c r="B65" s="12"/>
      <c r="C65" s="11"/>
    </row>
    <row r="66" spans="2:3" x14ac:dyDescent="0.3">
      <c r="B66" s="12"/>
      <c r="C66" s="11"/>
    </row>
    <row r="67" spans="2:3" x14ac:dyDescent="0.3">
      <c r="B67" s="12"/>
      <c r="C67" s="11"/>
    </row>
    <row r="68" spans="2:3" x14ac:dyDescent="0.3">
      <c r="B68" s="12"/>
      <c r="C68" s="11"/>
    </row>
  </sheetData>
  <sheetProtection algorithmName="SHA-512" hashValue="9K1sE0+16GJc3dhbMVovxgzRj+Jmq3LkQHU6uboALtL9Fe8rFr9Xs/wWdK2MM271qmbt+l+RK1kuA4I4kDACog==" saltValue="5PV0RCaFBCd5ekk83jxnhw==" spinCount="100000" sheet="1" objects="1" scenarios="1" selectLockedCells="1" selectUnlockedCells="1"/>
  <mergeCells count="48">
    <mergeCell ref="BN2:BT2"/>
    <mergeCell ref="BV2:CB2"/>
    <mergeCell ref="BP3:BR3"/>
    <mergeCell ref="BX3:BZ3"/>
    <mergeCell ref="BO6:BP6"/>
    <mergeCell ref="BQ6:BR6"/>
    <mergeCell ref="BS6:BT6"/>
    <mergeCell ref="BW6:BX6"/>
    <mergeCell ref="BY6:BZ6"/>
    <mergeCell ref="CA6:CB6"/>
    <mergeCell ref="AX2:BD2"/>
    <mergeCell ref="BF2:BL2"/>
    <mergeCell ref="AZ3:BB3"/>
    <mergeCell ref="BH3:BJ3"/>
    <mergeCell ref="AY6:AZ6"/>
    <mergeCell ref="BA6:BB6"/>
    <mergeCell ref="BC6:BD6"/>
    <mergeCell ref="BG6:BH6"/>
    <mergeCell ref="BI6:BJ6"/>
    <mergeCell ref="BK6:BL6"/>
    <mergeCell ref="AH2:AN2"/>
    <mergeCell ref="AP2:AV2"/>
    <mergeCell ref="AJ3:AL3"/>
    <mergeCell ref="AR3:AT3"/>
    <mergeCell ref="AI6:AJ6"/>
    <mergeCell ref="AK6:AL6"/>
    <mergeCell ref="AM6:AN6"/>
    <mergeCell ref="AQ6:AR6"/>
    <mergeCell ref="AS6:AT6"/>
    <mergeCell ref="AU6:AV6"/>
    <mergeCell ref="T3:V3"/>
    <mergeCell ref="R2:X2"/>
    <mergeCell ref="Z2:AF2"/>
    <mergeCell ref="S6:T6"/>
    <mergeCell ref="U6:V6"/>
    <mergeCell ref="W6:X6"/>
    <mergeCell ref="AA6:AB6"/>
    <mergeCell ref="AC6:AD6"/>
    <mergeCell ref="AE6:AF6"/>
    <mergeCell ref="AB3:AD3"/>
    <mergeCell ref="J2:P2"/>
    <mergeCell ref="K6:L6"/>
    <mergeCell ref="M6:N6"/>
    <mergeCell ref="O6:P6"/>
    <mergeCell ref="B6:C6"/>
    <mergeCell ref="D6:E6"/>
    <mergeCell ref="F6:G6"/>
    <mergeCell ref="A2:G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24</vt:i4>
      </vt:variant>
    </vt:vector>
  </HeadingPairs>
  <TitlesOfParts>
    <vt:vector size="34" baseType="lpstr">
      <vt:lpstr>Instructions</vt:lpstr>
      <vt:lpstr>Field Worksheet</vt:lpstr>
      <vt:lpstr>Cover Crop Table</vt:lpstr>
      <vt:lpstr>Clean Tillage Table</vt:lpstr>
      <vt:lpstr>Conventional Tillage Table</vt:lpstr>
      <vt:lpstr>Mulch Tillage Table</vt:lpstr>
      <vt:lpstr>No-Till Table</vt:lpstr>
      <vt:lpstr>Assumptions</vt:lpstr>
      <vt:lpstr>Bed Slope Tables</vt:lpstr>
      <vt:lpstr>County</vt:lpstr>
      <vt:lpstr>CCErodibleBedS</vt:lpstr>
      <vt:lpstr>CCErosionResBedS</vt:lpstr>
      <vt:lpstr>CleanErodibleBedS</vt:lpstr>
      <vt:lpstr>CleanErosResBedS</vt:lpstr>
      <vt:lpstr>Coeff0_List</vt:lpstr>
      <vt:lpstr>Coeff1_List</vt:lpstr>
      <vt:lpstr>Coeff2_List</vt:lpstr>
      <vt:lpstr>ConvErodibleBedS</vt:lpstr>
      <vt:lpstr>ConvErosResBedS</vt:lpstr>
      <vt:lpstr>IaP_1</vt:lpstr>
      <vt:lpstr>IaP_List</vt:lpstr>
      <vt:lpstr>log_Tc</vt:lpstr>
      <vt:lpstr>MulchErodibleBedS</vt:lpstr>
      <vt:lpstr>MulchErosResBedS</vt:lpstr>
      <vt:lpstr>my_Iap</vt:lpstr>
      <vt:lpstr>NoTillErodibleBedS</vt:lpstr>
      <vt:lpstr>NoTillErosResBedS</vt:lpstr>
      <vt:lpstr>'Clean Tillage Table'!Print_Area</vt:lpstr>
      <vt:lpstr>'Conventional Tillage Table'!Print_Area</vt:lpstr>
      <vt:lpstr>'Cover Crop Table'!Print_Area</vt:lpstr>
      <vt:lpstr>'Mulch Tillage Table'!Print_Area</vt:lpstr>
      <vt:lpstr>'No-Till Table'!Print_Area</vt:lpstr>
      <vt:lpstr>Row_1</vt:lpstr>
      <vt:lpstr>Row_2</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Reedy, James - NRCS, Norfolk, NE</dc:creator>
  <cp:lastModifiedBy>Norton, Marty - NRCS, Lincoln, NE</cp:lastModifiedBy>
  <cp:lastPrinted>2021-03-22T21:10:02Z</cp:lastPrinted>
  <dcterms:created xsi:type="dcterms:W3CDTF">2016-04-04T12:34:36Z</dcterms:created>
  <dcterms:modified xsi:type="dcterms:W3CDTF">2021-03-22T22:07:00Z</dcterms:modified>
  <cp:category>Password to Instreuction Page is 22Usda22</cp:category>
</cp:coreProperties>
</file>