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45" yWindow="0" windowWidth="7440" windowHeight="8940" tabRatio="853" activeTab="0"/>
  </bookViews>
  <sheets>
    <sheet name="Man. Bal." sheetId="1" r:id="rId1"/>
    <sheet name="Graz. Nut." sheetId="2" r:id="rId2"/>
    <sheet name="Liq. Bal." sheetId="3" r:id="rId3"/>
    <sheet name="Cal. Tables" sheetId="4" r:id="rId4"/>
    <sheet name="Rot. Bal." sheetId="5" r:id="rId5"/>
    <sheet name="Dry Prod. Values" sheetId="6" r:id="rId6"/>
    <sheet name="Wet Prod. Values" sheetId="7" r:id="rId7"/>
    <sheet name="Losses" sheetId="8" r:id="rId8"/>
    <sheet name="Crop Uptk" sheetId="9" r:id="rId9"/>
    <sheet name="Conv. Calc." sheetId="10" r:id="rId10"/>
  </sheets>
  <definedNames>
    <definedName name="ACwvu.page1." localSheetId="2" hidden="1">'Liq. Bal.'!$A$1</definedName>
    <definedName name="ACwvu.page1." localSheetId="0" hidden="1">'Man. Bal.'!$M$3</definedName>
    <definedName name="ACwvu.page2." localSheetId="1" hidden="1">'Graz. Nut.'!#REF!</definedName>
    <definedName name="_xlnm.Print_Area" localSheetId="3">'Cal. Tables'!$A$1:$O$54</definedName>
    <definedName name="_xlnm.Print_Area" localSheetId="8">'Crop Uptk'!$A$1:$E$41</definedName>
    <definedName name="_xlnm.Print_Area" localSheetId="5">'Dry Prod. Values'!$A$1:$I$59</definedName>
    <definedName name="_xlnm.Print_Area" localSheetId="1">'Graz. Nut.'!$A$1:$K$43</definedName>
    <definedName name="_xlnm.Print_Area" localSheetId="2">'Liq. Bal.'!$A$1:$O$57</definedName>
    <definedName name="_xlnm.Print_Area" localSheetId="0">'Man. Bal.'!$A$1:$O$57</definedName>
    <definedName name="_xlnm.Print_Area" localSheetId="4">'Rot. Bal.'!$A$1:$O$82</definedName>
    <definedName name="_xlnm.Print_Area" localSheetId="6">'Wet Prod. Values'!$A$1:$H$44</definedName>
    <definedName name="Swvu.page1." localSheetId="2" hidden="1">'Liq. Bal.'!$A$1</definedName>
    <definedName name="Swvu.page1." localSheetId="0" hidden="1">'Man. Bal.'!$M$3</definedName>
    <definedName name="Swvu.page2." localSheetId="1" hidden="1">'Graz. Nut.'!#REF!</definedName>
    <definedName name="wrn.Pages123." localSheetId="2" hidden="1">{"page1",#N/A,FALSE,"Waste_Bal";"page2",#N/A,FALSE,"Waste_by_field";"PAGE3",#N/A,FALSE,"Forage_Bal"}</definedName>
    <definedName name="wrn.Pages123." localSheetId="6" hidden="1">{"page1",#N/A,FALSE,"Waste_Bal";"page2",#N/A,FALSE,"Waste_by_field";"PAGE3",#N/A,FALSE,"Forage_Bal"}</definedName>
    <definedName name="wrn.Pages123." hidden="1">{"page1",#N/A,FALSE,"Waste_Bal";"page2",#N/A,FALSE,"Waste_by_field";"PAGE3",#N/A,FALSE,"Forage_Bal"}</definedName>
    <definedName name="wvu.page1." localSheetId="2" hidden="1">{TRUE,TRUE,-4.25,-18.5,490.5,282.75,FALSE,FALSE,TRUE,TRUE,0,1,#N/A,1,#N/A,12.1875,18.352941176470587,1,FALSE,FALSE,3,TRUE,1,FALSE,79,"Swvu.page1.","ACwvu.page1.",#N/A,FALSE,FALSE,0.75,0.75,0.5,0.5,1,"&amp;C&amp;""Times New Roman,Regular""&amp;12USDA NATURAL RESOURCES CONSERVATION SERVICE in cooperation with SNOHOMISH CONSERVATION DISTRICT","&amp;C&amp;""Times New Roman,Regular""Page 1, &amp;F",TRUE,TRUE,FALSE,FALSE,1,#N/A,1,1,"=R1C1:R53C14",FALSE,#N/A,#N/A,FALSE,FALSE,FALSE,1,65532,65532,FALSE,FALSE,TRUE,TRUE,TRUE}</definedName>
    <definedName name="wvu.page1." localSheetId="0" hidden="1">{TRUE,TRUE,-4.25,-18.5,490.5,282.75,FALSE,FALSE,TRUE,TRUE,0,1,#N/A,1,#N/A,12.1875,18.352941176470587,1,FALSE,FALSE,3,TRUE,1,FALSE,79,"Swvu.page1.","ACwvu.page1.",#N/A,FALSE,FALSE,0.75,0.75,0.5,0.5,1,"&amp;C&amp;""Times New Roman,Regular""&amp;12USDA NATURAL RESOURCES CONSERVATION SERVICE in cooperation with SNOHOMISH CONSERVATION DISTRICT","&amp;C&amp;""Times New Roman,Regular""Page 1, &amp;F",TRUE,TRUE,FALSE,FALSE,1,#N/A,1,1,"=R1C1:R53C14",FALSE,#N/A,#N/A,FALSE,FALSE,FALSE,1,65532,65532,FALSE,FALSE,TRUE,TRUE,TRUE}</definedName>
    <definedName name="wvu.page2." localSheetId="1" hidden="1">{TRUE,TRUE,-4.25,-18.5,490.5,282.75,FALSE,FALSE,TRUE,TRUE,0,1,#N/A,1,#N/A,14.8125,19.75,1,FALSE,FALSE,3,TRUE,1,FALSE,75,"Swvu.page2.","ACwvu.page2.",#N/A,FALSE,FALSE,0.75,0.75,1,1,1,"&amp;C&amp;""Times New Roman,Regular""&amp;12USDA NATURAL RESOURCES CONSERVATION SERVICE in cooperation with SNOHOMISH CONSERVATION DISTRICT","&amp;C&amp;""Times New Roman,Regular""Page 2, &amp;F",TRUE,TRUE,FALSE,FALSE,1,#N/A,1,1,"=R1C2:R42C12",FALSE,#N/A,#N/A,FALSE,FALSE,FALSE,1,65532,65532,FALSE,FALSE,TRUE,TRUE,TRUE}</definedName>
    <definedName name="Z_02C5A7C0_4EED_11D3_BFFC_A828F79E7946_.wvu.PrintArea" localSheetId="0" hidden="1">'Man. Bal.'!$A$1:$N$51</definedName>
    <definedName name="Z_02C5A7C1_4EED_11D3_BFFC_A828F79E7946_.wvu.PrintArea" localSheetId="1" hidden="1">'Graz. Nut.'!$B$1:$L$42</definedName>
    <definedName name="Z_096A6800_4E8D_11D3_BFFC_A828F79E7946_.wvu.PrintArea" localSheetId="0" hidden="1">'Man. Bal.'!$A$1:$N$51</definedName>
    <definedName name="Z_096A6801_4E8D_11D3_BFFC_A828F79E7946_.wvu.PrintArea" localSheetId="1" hidden="1">'Graz. Nut.'!$B$1:$L$42</definedName>
    <definedName name="Z_0A7EABA0_DE96_11D2_BFFC_F60C408CE246_.wvu.PrintArea" localSheetId="2" hidden="1">'Liq. Bal.'!$A$1:$N$54</definedName>
    <definedName name="Z_109B9EA3_B28E_11D2_BFFC_A524BE77EC49_.wvu.PrintArea" localSheetId="2" hidden="1">'Liq. Bal.'!$A$1:$N$54</definedName>
    <definedName name="Z_109B9EA3_B28E_11D2_BFFC_A524BE77EC49_.wvu.PrintArea" localSheetId="0" hidden="1">'Man. Bal.'!$A$1:$N$51</definedName>
    <definedName name="Z_109B9EA4_B28E_11D2_BFFC_A524BE77EC49_.wvu.PrintArea" localSheetId="1" hidden="1">'Graz. Nut.'!$B$1:$L$42</definedName>
    <definedName name="Z_109B9EA7_B28E_11D2_BFFC_A524BE77EC49_.wvu.PrintArea" localSheetId="2" hidden="1">'Liq. Bal.'!$A$1:$N$54</definedName>
    <definedName name="Z_109B9EA7_B28E_11D2_BFFC_A524BE77EC49_.wvu.PrintArea" localSheetId="0" hidden="1">'Man. Bal.'!$A$1:$N$51</definedName>
    <definedName name="Z_109B9EA8_B28E_11D2_BFFC_A524BE77EC49_.wvu.PrintArea" localSheetId="1" hidden="1">'Graz. Nut.'!$B$1:$L$42</definedName>
    <definedName name="Z_19C9E762_1B12_11D3_BFFC_C40A42D2D74A_.wvu.PrintArea" localSheetId="0" hidden="1">'Man. Bal.'!$A$1:$N$51</definedName>
    <definedName name="Z_19C9E763_1B12_11D3_BFFC_C40A42D2D74A_.wvu.PrintArea" localSheetId="1" hidden="1">'Graz. Nut.'!$B$1:$L$42</definedName>
    <definedName name="Z_1ABD9583_14D8_11D3_BFFC_FDA0FB060072_.wvu.PrintArea" localSheetId="0" hidden="1">'Man. Bal.'!$A$1:$N$51</definedName>
    <definedName name="Z_1ABD9584_14D8_11D3_BFFC_FDA0FB060072_.wvu.PrintArea" localSheetId="1" hidden="1">'Graz. Nut.'!$B$1:$L$42</definedName>
    <definedName name="Z_1ABD9588_14D8_11D3_BFFC_FDA0FB060072_.wvu.PrintArea" localSheetId="2" hidden="1">'Liq. Bal.'!$A$1:$N$55</definedName>
    <definedName name="Z_1E9E2480_4CD2_11D3_BFFC_D31672D68C4A_.wvu.PrintArea" localSheetId="0" hidden="1">'Man. Bal.'!$A$1:$N$51</definedName>
    <definedName name="Z_1E9E2481_4CD2_11D3_BFFC_D31672D68C4A_.wvu.PrintArea" localSheetId="1" hidden="1">'Graz. Nut.'!$B$1:$L$42</definedName>
    <definedName name="Z_255EFA60_B105_11D2_BFFC_00104B3CCF03_.wvu.PrintArea" localSheetId="2" hidden="1">'Liq. Bal.'!$A$1:$N$54</definedName>
    <definedName name="Z_255EFA60_B105_11D2_BFFC_00104B3CCF03_.wvu.PrintArea" localSheetId="0" hidden="1">'Man. Bal.'!$A$1:$N$51</definedName>
    <definedName name="Z_255EFA61_B105_11D2_BFFC_00104B3CCF03_.wvu.PrintArea" localSheetId="1" hidden="1">'Graz. Nut.'!$A$1:$K$43</definedName>
    <definedName name="Z_2DC6B540_1E5F_11D3_BFFC_00104B3CCF03_.wvu.PrintArea" localSheetId="0" hidden="1">'Man. Bal.'!$A$1:$N$51</definedName>
    <definedName name="Z_2DC6B541_1E5F_11D3_BFFC_00104B3CCF03_.wvu.PrintArea" localSheetId="1" hidden="1">'Graz. Nut.'!$B$1:$L$42</definedName>
    <definedName name="Z_3F3024A0_B23B_11D2_BFFC_F09F89BA254A_.wvu.PrintArea" localSheetId="2" hidden="1">'Liq. Bal.'!$A$1:$N$54</definedName>
    <definedName name="Z_3F3024A0_B23B_11D2_BFFC_F09F89BA254A_.wvu.PrintArea" localSheetId="0" hidden="1">'Man. Bal.'!$A$1:$N$51</definedName>
    <definedName name="Z_3F3024A1_B23B_11D2_BFFC_F09F89BA254A_.wvu.PrintArea" localSheetId="1" hidden="1">'Graz. Nut.'!$B$1:$L$42</definedName>
    <definedName name="Z_3F3024A4_B23B_11D2_BFFC_F09F89BA254A_.wvu.PrintArea" localSheetId="2" hidden="1">'Liq. Bal.'!$A$1:$N$54</definedName>
    <definedName name="Z_3F3024A4_B23B_11D2_BFFC_F09F89BA254A_.wvu.PrintArea" localSheetId="0" hidden="1">'Man. Bal.'!$A$1:$N$51</definedName>
    <definedName name="Z_3F3024A5_B23B_11D2_BFFC_F09F89BA254A_.wvu.PrintArea" localSheetId="1" hidden="1">'Graz. Nut.'!$B$1:$L$42</definedName>
    <definedName name="Z_403F70E0_14D7_11D3_BFFC_FDA0FB060072_.wvu.PrintArea" localSheetId="2" hidden="1">'Liq. Bal.'!$A$1:$N$55</definedName>
    <definedName name="Z_429EED43_4351_11D3_BFFC_C7C982006342_.wvu.PrintArea" localSheetId="0" hidden="1">'Man. Bal.'!$A$1:$N$51</definedName>
    <definedName name="Z_429EED44_4351_11D3_BFFC_C7C982006342_.wvu.PrintArea" localSheetId="1" hidden="1">'Graz. Nut.'!$B$1:$L$42</definedName>
    <definedName name="Z_43C357E3_FD67_11D2_BFFC_00104B3CCF03_.wvu.PrintArea" localSheetId="2" hidden="1">'Liq. Bal.'!$A$1:$N$55</definedName>
    <definedName name="Z_43C357E8_FD67_11D2_BFFC_00104B3CCF03_.wvu.PrintArea" localSheetId="2" hidden="1">'Liq. Bal.'!$A$1:$N$55</definedName>
    <definedName name="Z_59414000_469B_11D3_BFFC_00104B3CCF03_.wvu.PrintArea" localSheetId="0" hidden="1">'Man. Bal.'!$A$1:$N$51</definedName>
    <definedName name="Z_59414001_469B_11D3_BFFC_00104B3CCF03_.wvu.PrintArea" localSheetId="1" hidden="1">'Graz. Nut.'!$B$1:$L$42</definedName>
    <definedName name="Z_60303BC0_1A61_11D3_BFFC_EA8961805944_.wvu.PrintArea" localSheetId="0" hidden="1">'Man. Bal.'!$A$1:$N$51</definedName>
    <definedName name="Z_60303BC1_1A61_11D3_BFFC_EA8961805944_.wvu.PrintArea" localSheetId="1" hidden="1">'Graz. Nut.'!$B$1:$L$42</definedName>
    <definedName name="Z_60303BC3_1A61_11D3_BFFC_EA8961805944_.wvu.PrintArea" localSheetId="2" hidden="1">'Liq. Bal.'!$A$1:$N$55</definedName>
    <definedName name="Z_60303BDC_1A61_11D3_BFFC_EA8961805944_.wvu.PrintArea" localSheetId="0" hidden="1">'Man. Bal.'!$A$1:$N$51</definedName>
    <definedName name="Z_60303BDD_1A61_11D3_BFFC_EA8961805944_.wvu.PrintArea" localSheetId="1" hidden="1">'Graz. Nut.'!$B$1:$L$42</definedName>
    <definedName name="Z_7518AA40_7FE7_11D3_BFFC_C9DC1E7E334D_.wvu.PrintArea" localSheetId="2" hidden="1">'Liq. Bal.'!$A$1:$N$55</definedName>
    <definedName name="Z_7993D8C0_DBBD_11D2_BFFC_00104B3CCF03_.wvu.PrintArea" localSheetId="0" hidden="1">'Man. Bal.'!$A$1:$N$51</definedName>
    <definedName name="Z_7993D8C1_DBBD_11D2_BFFC_00104B3CCF03_.wvu.PrintArea" localSheetId="1" hidden="1">'Graz. Nut.'!$B$1:$L$42</definedName>
    <definedName name="Z_7993D8C4_DBBD_11D2_BFFC_00104B3CCF03_.wvu.PrintArea" localSheetId="2" hidden="1">'Liq. Bal.'!$A$1:$N$54</definedName>
    <definedName name="Z_7B3EEF00_BAB3_11D2_BFFC_00104B3CCF03_.wvu.PrintArea" localSheetId="2" hidden="1">'Liq. Bal.'!$A$1:$N$54</definedName>
    <definedName name="Z_7B3EEF00_BAB3_11D2_BFFC_00104B3CCF03_.wvu.PrintArea" localSheetId="0" hidden="1">'Man. Bal.'!$A$1:$N$51</definedName>
    <definedName name="Z_7B3EEF01_BAB3_11D2_BFFC_00104B3CCF03_.wvu.PrintArea" localSheetId="1" hidden="1">'Graz. Nut.'!$B$1:$L$42</definedName>
    <definedName name="Z_7B67ECA0_1A5F_11D3_BFFC_EA8961805944_.wvu.PrintArea" localSheetId="2" hidden="1">'Liq. Bal.'!$A$1:$N$55</definedName>
    <definedName name="Z_7B67ECA3_1A5F_11D3_BFFC_EA8961805944_.wvu.PrintArea" localSheetId="0" hidden="1">'Man. Bal.'!$A$1:$N$51</definedName>
    <definedName name="Z_7B67ECA4_1A5F_11D3_BFFC_EA8961805944_.wvu.PrintArea" localSheetId="1" hidden="1">'Graz. Nut.'!$B$1:$L$42</definedName>
    <definedName name="Z_7B67ECA9_1A5F_11D3_BFFC_EA8961805944_.wvu.PrintArea" localSheetId="2" hidden="1">'Liq. Bal.'!$A$1:$N$55</definedName>
    <definedName name="Z_7C29E243_1A4D_11D3_BFFC_EA8961805944_.wvu.PrintArea" localSheetId="2" hidden="1">'Liq. Bal.'!$A$1:$N$55</definedName>
    <definedName name="Z_7C29E24C_1A4D_11D3_BFFC_EA8961805944_.wvu.PrintArea" localSheetId="0" hidden="1">'Man. Bal.'!$A$1:$N$51</definedName>
    <definedName name="Z_7C29E24D_1A4D_11D3_BFFC_EA8961805944_.wvu.PrintArea" localSheetId="1" hidden="1">'Graz. Nut.'!$B$1:$L$42</definedName>
    <definedName name="Z_9583E4E0_5FD8_11D3_BFFC_C35D48DBD04D_.wvu.PrintArea" localSheetId="0" hidden="1">'Man. Bal.'!$A$1:$N$51</definedName>
    <definedName name="Z_9583E4E1_5FD8_11D3_BFFC_C35D48DBD04D_.wvu.PrintArea" localSheetId="1" hidden="1">'Graz. Nut.'!$B$1:$L$42</definedName>
    <definedName name="Z_99E07EA0_E40D_11D2_BFFC_DBFE048F9B4B_.wvu.PrintArea" localSheetId="2" hidden="1">'Liq. Bal.'!$A$1:$N$54</definedName>
    <definedName name="Z_9AFDE660_E4DA_11D2_BFFC_FA9616C16D43_.wvu.PrintArea" localSheetId="2" hidden="1">'Liq. Bal.'!$A$1:$N$54</definedName>
    <definedName name="Z_9D8E1BE0_B14D_11D2_BFFC_00104B3CCF03_.wvu.PrintArea" localSheetId="2" hidden="1">'Liq. Bal.'!$A$1:$N$54</definedName>
    <definedName name="Z_9D8E1BE0_B14D_11D2_BFFC_00104B3CCF03_.wvu.PrintArea" localSheetId="0" hidden="1">'Man. Bal.'!$A$1:$N$51</definedName>
    <definedName name="Z_9D8E1BE1_B14D_11D2_BFFC_00104B3CCF03_.wvu.PrintArea" localSheetId="1" hidden="1">'Graz. Nut.'!$B$1:$L$42</definedName>
    <definedName name="Z_9DAD16C0_C27E_11D2_BFFC_00104B3CCF03_.wvu.PrintArea" localSheetId="2" hidden="1">'Liq. Bal.'!$A$1:$N$54</definedName>
    <definedName name="Z_9DAD16C0_C27E_11D2_BFFC_00104B3CCF03_.wvu.PrintArea" localSheetId="0" hidden="1">'Man. Bal.'!$A$1:$N$51</definedName>
    <definedName name="Z_9DAD16C1_C27E_11D2_BFFC_00104B3CCF03_.wvu.PrintArea" localSheetId="1" hidden="1">'Graz. Nut.'!$B$1:$L$42</definedName>
    <definedName name="Z_AE478200_BB52_11D2_BFFC_00104B3CCF03_.wvu.PrintArea" localSheetId="2" hidden="1">'Liq. Bal.'!$A$1:$N$54</definedName>
    <definedName name="Z_AE478200_BB52_11D2_BFFC_00104B3CCF03_.wvu.PrintArea" localSheetId="0" hidden="1">'Man. Bal.'!$A$1:$N$51</definedName>
    <definedName name="Z_AE478201_BB52_11D2_BFFC_00104B3CCF03_.wvu.PrintArea" localSheetId="1" hidden="1">'Graz. Nut.'!$B$1:$L$42</definedName>
    <definedName name="Z_B0D733A0_B088_11D2_BFFC_00104B3CCF03_.wvu.PrintArea" localSheetId="2" hidden="1">'Liq. Bal.'!$A$1:$N$54</definedName>
    <definedName name="Z_B0D733A0_B088_11D2_BFFC_00104B3CCF03_.wvu.PrintArea" localSheetId="0" hidden="1">'Man. Bal.'!$A$1:$N$51</definedName>
    <definedName name="Z_B0D733A1_B088_11D2_BFFC_00104B3CCF03_.wvu.PrintArea" localSheetId="1" hidden="1">'Graz. Nut.'!$A$1:$K$43</definedName>
    <definedName name="Z_B3D41340_1B20_11D3_BFFC_C40A42D2D74A_.wvu.PrintArea" localSheetId="0" hidden="1">'Man. Bal.'!$A$1:$N$51</definedName>
    <definedName name="Z_B3D41341_1B20_11D3_BFFC_C40A42D2D74A_.wvu.PrintArea" localSheetId="1" hidden="1">'Graz. Nut.'!$B$1:$L$42</definedName>
    <definedName name="Z_B72FBCC0_4793_11D3_BFFC_C67300167649_.wvu.PrintArea" localSheetId="0" hidden="1">'Man. Bal.'!$A$1:$N$51</definedName>
    <definedName name="Z_B72FBCC1_4793_11D3_BFFC_C67300167649_.wvu.PrintArea" localSheetId="1" hidden="1">'Graz. Nut.'!$B$1:$L$42</definedName>
    <definedName name="Z_B8990AE4_C277_11D2_BFFC_00104B3CCF03_.wvu.PrintArea" localSheetId="2" hidden="1">'Liq. Bal.'!$A$1:$N$54</definedName>
    <definedName name="Z_B8990AE4_C277_11D2_BFFC_00104B3CCF03_.wvu.PrintArea" localSheetId="0" hidden="1">'Man. Bal.'!$A$1:$N$51</definedName>
    <definedName name="Z_B8990AE5_C277_11D2_BFFC_00104B3CCF03_.wvu.PrintArea" localSheetId="1" hidden="1">'Graz. Nut.'!$B$1:$L$42</definedName>
    <definedName name="Z_BCF737A3_B44F_11D2_BFFC_00104B3CCF03_.wvu.PrintArea" localSheetId="2" hidden="1">'Liq. Bal.'!$A$1:$N$54</definedName>
    <definedName name="Z_BCF737A3_B44F_11D2_BFFC_00104B3CCF03_.wvu.PrintArea" localSheetId="0" hidden="1">'Man. Bal.'!$A$1:$N$51</definedName>
    <definedName name="Z_BCF737A4_B44F_11D2_BFFC_00104B3CCF03_.wvu.PrintArea" localSheetId="1" hidden="1">'Graz. Nut.'!$B$1:$L$42</definedName>
    <definedName name="Z_BCF737A7_B44F_11D2_BFFC_00104B3CCF03_.wvu.PrintArea" localSheetId="2" hidden="1">'Liq. Bal.'!$A$1:$N$54</definedName>
    <definedName name="Z_BCF737A7_B44F_11D2_BFFC_00104B3CCF03_.wvu.PrintArea" localSheetId="0" hidden="1">'Man. Bal.'!$A$1:$N$51</definedName>
    <definedName name="Z_BCF737A8_B44F_11D2_BFFC_00104B3CCF03_.wvu.PrintArea" localSheetId="1" hidden="1">'Graz. Nut.'!$B$1:$L$42</definedName>
    <definedName name="Z_C971E200_E348_11D2_BFFC_ADA3FFEB194B_.wvu.PrintArea" localSheetId="2" hidden="1">'Liq. Bal.'!$A$1:$N$54</definedName>
    <definedName name="Z_CF0D24C5_48B2_11D3_BFFC_00104B3CCF03_.wvu.PrintArea" localSheetId="0" hidden="1">'Man. Bal.'!$A$1:$N$51</definedName>
    <definedName name="Z_CF0D24C6_48B2_11D3_BFFC_00104B3CCF03_.wvu.PrintArea" localSheetId="1" hidden="1">'Graz. Nut.'!$B$1:$L$42</definedName>
    <definedName name="Z_D222DF40_5813_11D3_BFFC_DA1B07D15A49_.wvu.PrintArea" localSheetId="0" hidden="1">'Man. Bal.'!$A$1:$N$51</definedName>
    <definedName name="Z_D222DF41_5813_11D3_BFFC_DA1B07D15A49_.wvu.PrintArea" localSheetId="1" hidden="1">'Graz. Nut.'!$B$1:$L$42</definedName>
    <definedName name="Z_D37BA0C0_C38F_11D2_BFFC_DD2B0EB4F87B_.wvu.PrintArea" localSheetId="2" hidden="1">'Liq. Bal.'!$A$1:$N$54</definedName>
    <definedName name="Z_D62DD720_E40A_11D2_BFFC_91DBB0C9554B_.wvu.PrintArea" localSheetId="2" hidden="1">'Liq. Bal.'!$A$1:$N$54</definedName>
    <definedName name="Z_D9F3BCA0_AFB0_11D2_BFFC_00104B3CCF03_.wvu.PrintArea" localSheetId="2" hidden="1">'Liq. Bal.'!$A$1:$N$54</definedName>
    <definedName name="Z_D9F3BCA0_AFB0_11D2_BFFC_00104B3CCF03_.wvu.PrintArea" localSheetId="0" hidden="1">'Man. Bal.'!$A$1:$N$51</definedName>
    <definedName name="Z_D9F3BCA1_AFB0_11D2_BFFC_00104B3CCF03_.wvu.PrintArea" localSheetId="1" hidden="1">'Graz. Nut.'!$A$1:$K$43</definedName>
    <definedName name="Z_E9D5CF0A_3129_11D3_BFFC_F460E681F84B_.wvu.PrintArea" localSheetId="2" hidden="1">'Liq. Bal.'!$A$1:$N$55</definedName>
    <definedName name="Z_F0939B40_C349_11D2_BFFC_DD2B0EB4F87B_.wvu.PrintArea" localSheetId="2" hidden="1">'Liq. Bal.'!$A$1:$N$54</definedName>
    <definedName name="Z_F0939B40_C349_11D2_BFFC_DD2B0EB4F87B_.wvu.PrintArea" localSheetId="0" hidden="1">'Man. Bal.'!$A$1:$N$51</definedName>
    <definedName name="Z_F0939B41_C349_11D2_BFFC_DD2B0EB4F87B_.wvu.PrintArea" localSheetId="1" hidden="1">'Graz. Nut.'!$B$1:$L$42</definedName>
    <definedName name="Z_F60AFD80_06E1_11D3_BFFC_95FD312B6349_.wvu.PrintArea" localSheetId="2" hidden="1">'Liq. Bal.'!$A$1:$N$55</definedName>
    <definedName name="Z_F6D72E84_C282_11D2_BFFC_00104B3CCF03_.wvu.PrintArea" localSheetId="2" hidden="1">'Liq. Bal.'!$A$1:$N$54</definedName>
    <definedName name="Z_F6D72E84_C282_11D2_BFFC_00104B3CCF03_.wvu.PrintArea" localSheetId="0" hidden="1">'Man. Bal.'!$A$1:$N$51</definedName>
    <definedName name="Z_F6D72E85_C282_11D2_BFFC_00104B3CCF03_.wvu.PrintArea" localSheetId="1" hidden="1">'Graz. Nut.'!$B$1:$L$42</definedName>
    <definedName name="Z_FD1F8D20_509C_11D3_BFFC_00104B3CCF03_.wvu.PrintArea" localSheetId="0" hidden="1">'Man. Bal.'!$A$1:$N$51</definedName>
    <definedName name="Z_FD1F8D21_509C_11D3_BFFC_00104B3CCF03_.wvu.PrintArea" localSheetId="1" hidden="1">'Graz. Nut.'!$B$1:$L$42</definedName>
    <definedName name="Z_FE703160_57E1_11D3_BFFC_DA1B07D15A49_.wvu.PrintArea" localSheetId="0" hidden="1">'Man. Bal.'!$A$1:$N$51</definedName>
    <definedName name="Z_FE703161_57E1_11D3_BFFC_DA1B07D15A49_.wvu.PrintArea" localSheetId="1" hidden="1">'Graz. Nut.'!$B$1:$L$42</definedName>
  </definedNames>
  <calcPr fullCalcOnLoad="1"/>
</workbook>
</file>

<file path=xl/comments1.xml><?xml version="1.0" encoding="utf-8"?>
<comments xmlns="http://schemas.openxmlformats.org/spreadsheetml/2006/main">
  <authors>
    <author>Kerry Goodrich</author>
    <author>kerry.goodrich</author>
  </authors>
  <commentList>
    <comment ref="A21" authorId="0">
      <text>
        <r>
          <rPr>
            <b/>
            <sz val="8"/>
            <rFont val="Tahoma"/>
            <family val="0"/>
          </rPr>
          <t>Obtain loss values by clicking on the "losses" tab.  Then enter them in the appropriate columns.</t>
        </r>
        <r>
          <rPr>
            <sz val="8"/>
            <rFont val="Tahoma"/>
            <family val="0"/>
          </rPr>
          <t xml:space="preserve">
</t>
        </r>
      </text>
    </comment>
    <comment ref="G6" authorId="0">
      <text>
        <r>
          <rPr>
            <b/>
            <sz val="8"/>
            <rFont val="Tahoma"/>
            <family val="0"/>
          </rPr>
          <t>Enter the average weight of the animals divided by 1000.  Example 1400 lbs average/1000=1.4</t>
        </r>
        <r>
          <rPr>
            <sz val="8"/>
            <rFont val="Tahoma"/>
            <family val="0"/>
          </rPr>
          <t xml:space="preserve">
</t>
        </r>
      </text>
    </comment>
    <comment ref="A6" authorId="0">
      <text>
        <r>
          <rPr>
            <b/>
            <sz val="8"/>
            <rFont val="Tahoma"/>
            <family val="0"/>
          </rPr>
          <t>Click in the yellow box and enter the type of animal manure being evaluated.</t>
        </r>
        <r>
          <rPr>
            <sz val="8"/>
            <rFont val="Tahoma"/>
            <family val="0"/>
          </rPr>
          <t xml:space="preserve">
</t>
        </r>
      </text>
    </comment>
    <comment ref="F6" authorId="0">
      <text>
        <r>
          <rPr>
            <b/>
            <sz val="8"/>
            <rFont val="Tahoma"/>
            <family val="0"/>
          </rPr>
          <t>Enter the number of animals for which a manure production and nutrient estimates are desired.</t>
        </r>
        <r>
          <rPr>
            <sz val="8"/>
            <rFont val="Tahoma"/>
            <family val="0"/>
          </rPr>
          <t xml:space="preserve">
</t>
        </r>
      </text>
    </comment>
    <comment ref="I6" authorId="0">
      <text>
        <r>
          <rPr>
            <b/>
            <sz val="8"/>
            <rFont val="Tahoma"/>
            <family val="0"/>
          </rPr>
          <t>Enter the number of days that the animals are grazing on lands where manure is also applied.  Enter the number of days that the animals are confined in the feedlot.</t>
        </r>
        <r>
          <rPr>
            <sz val="8"/>
            <rFont val="Tahoma"/>
            <family val="0"/>
          </rPr>
          <t xml:space="preserve">
</t>
        </r>
      </text>
    </comment>
    <comment ref="G17" authorId="0">
      <text>
        <r>
          <rPr>
            <b/>
            <sz val="8"/>
            <rFont val="Tahoma"/>
            <family val="0"/>
          </rPr>
          <t>This number represents the total animal units.  It is obtained by multiplying the number of animals by the A.U. value and then summing the total of all animal types.</t>
        </r>
        <r>
          <rPr>
            <sz val="8"/>
            <rFont val="Tahoma"/>
            <family val="0"/>
          </rPr>
          <t xml:space="preserve">
</t>
        </r>
      </text>
    </comment>
    <comment ref="J21" authorId="0">
      <text>
        <r>
          <rPr>
            <b/>
            <sz val="8"/>
            <rFont val="Tahoma"/>
            <family val="0"/>
          </rPr>
          <t>Enter only the number of animal units that are bedded.</t>
        </r>
        <r>
          <rPr>
            <sz val="8"/>
            <rFont val="Tahoma"/>
            <family val="0"/>
          </rPr>
          <t xml:space="preserve">
</t>
        </r>
      </text>
    </comment>
    <comment ref="K21" authorId="0">
      <text>
        <r>
          <rPr>
            <b/>
            <sz val="8"/>
            <rFont val="Tahoma"/>
            <family val="0"/>
          </rPr>
          <t>Enter the number of days that the animals are bedded.</t>
        </r>
        <r>
          <rPr>
            <sz val="8"/>
            <rFont val="Tahoma"/>
            <family val="0"/>
          </rPr>
          <t xml:space="preserve">
</t>
        </r>
      </text>
    </comment>
    <comment ref="L21" authorId="0">
      <text>
        <r>
          <rPr>
            <b/>
            <sz val="8"/>
            <rFont val="Tahoma"/>
            <family val="0"/>
          </rPr>
          <t>Enter the lbs/day of bedding per 1000 lbs of animal that are used.  If actual values are not known, click on the gray tab labeled "Dry Prod. Values" to obtain a suggested value.</t>
        </r>
        <r>
          <rPr>
            <sz val="8"/>
            <rFont val="Tahoma"/>
            <family val="0"/>
          </rPr>
          <t xml:space="preserve">
</t>
        </r>
      </text>
    </comment>
    <comment ref="M21" authorId="0">
      <text>
        <r>
          <rPr>
            <b/>
            <sz val="8"/>
            <rFont val="Tahoma"/>
            <family val="0"/>
          </rPr>
          <t>Enter the % moisture of the bedding and fresh manure.  This can be obtained from the test results or can be estimated.  Click on the gray tab labeled "Dry Prod. Values" to obtain typical moisture values.</t>
        </r>
        <r>
          <rPr>
            <sz val="8"/>
            <rFont val="Tahoma"/>
            <family val="0"/>
          </rPr>
          <t xml:space="preserve">
</t>
        </r>
      </text>
    </comment>
    <comment ref="N24" authorId="0">
      <text>
        <r>
          <rPr>
            <b/>
            <sz val="8"/>
            <rFont val="Tahoma"/>
            <family val="0"/>
          </rPr>
          <t>This value represents the total tons of fresh manure &amp; bedding produced under the given conditions.</t>
        </r>
        <r>
          <rPr>
            <sz val="8"/>
            <rFont val="Tahoma"/>
            <family val="0"/>
          </rPr>
          <t xml:space="preserve">
</t>
        </r>
      </text>
    </comment>
    <comment ref="O24" authorId="0">
      <text>
        <r>
          <rPr>
            <b/>
            <sz val="8"/>
            <rFont val="Tahoma"/>
            <family val="0"/>
          </rPr>
          <t>This value represents the total cubic yards of fresh manure &amp; bedding produced under the given conditions.</t>
        </r>
      </text>
    </comment>
    <comment ref="E27" authorId="0">
      <text>
        <r>
          <rPr>
            <b/>
            <sz val="8"/>
            <rFont val="Tahoma"/>
            <family val="0"/>
          </rPr>
          <t>Enter the yield in the normal units of production for that crop (i.e. tons, bu., cwt., etc)  Click on the gray tab labeled "Crop Uptk" for unit information.</t>
        </r>
        <r>
          <rPr>
            <sz val="8"/>
            <rFont val="Tahoma"/>
            <family val="0"/>
          </rPr>
          <t xml:space="preserve">
</t>
        </r>
      </text>
    </comment>
    <comment ref="I27" authorId="0">
      <text>
        <r>
          <rPr>
            <b/>
            <sz val="8"/>
            <rFont val="Tahoma"/>
            <family val="0"/>
          </rPr>
          <t>If the crop is a legume, enter the amount of nitrogen produced by the crop.  You may also account for soil test nitrogen if desired or other nitrogen sources such as mineralization.</t>
        </r>
      </text>
    </comment>
    <comment ref="O44" authorId="1">
      <text>
        <r>
          <rPr>
            <b/>
            <sz val="8"/>
            <rFont val="Tahoma"/>
            <family val="0"/>
          </rPr>
          <t>Enter the estimated % moisture of the manure.  Estimated values can be obtained by clicking on the gray tab labeled "losses".</t>
        </r>
        <r>
          <rPr>
            <sz val="8"/>
            <rFont val="Tahoma"/>
            <family val="0"/>
          </rPr>
          <t xml:space="preserve">
</t>
        </r>
      </text>
    </comment>
    <comment ref="O50" authorId="1">
      <text>
        <r>
          <rPr>
            <b/>
            <sz val="8"/>
            <rFont val="Tahoma"/>
            <family val="0"/>
          </rPr>
          <t>This value can be obtained by weighing a 5 gallon  bucket of the manure and multiplying the weight by 1.5</t>
        </r>
        <r>
          <rPr>
            <sz val="8"/>
            <rFont val="Tahoma"/>
            <family val="0"/>
          </rPr>
          <t xml:space="preserve">
</t>
        </r>
      </text>
    </comment>
    <comment ref="O52" authorId="1">
      <text>
        <r>
          <rPr>
            <b/>
            <sz val="8"/>
            <rFont val="Tahoma"/>
            <family val="0"/>
          </rPr>
          <t>Calculate the cubic feet in the spreader by multiplying the length and width of the spreader by the average height of the manure in the spreader.</t>
        </r>
        <r>
          <rPr>
            <sz val="8"/>
            <rFont val="Tahoma"/>
            <family val="0"/>
          </rPr>
          <t xml:space="preserve">
</t>
        </r>
      </text>
    </comment>
    <comment ref="O55" authorId="1">
      <text>
        <r>
          <rPr>
            <b/>
            <sz val="8"/>
            <rFont val="Tahoma"/>
            <family val="0"/>
          </rPr>
          <t>Enter the average number of loads that can be hauled in a one hour time period.</t>
        </r>
        <r>
          <rPr>
            <sz val="8"/>
            <rFont val="Tahoma"/>
            <family val="0"/>
          </rPr>
          <t xml:space="preserve">
</t>
        </r>
      </text>
    </comment>
    <comment ref="O48" authorId="1">
      <text>
        <r>
          <rPr>
            <b/>
            <sz val="8"/>
            <rFont val="Tahoma"/>
            <family val="0"/>
          </rPr>
          <t>This value represents the total tons of manure &amp; bedding available for land application after moisture losses.</t>
        </r>
      </text>
    </comment>
  </commentList>
</comments>
</file>

<file path=xl/comments5.xml><?xml version="1.0" encoding="utf-8"?>
<comments xmlns="http://schemas.openxmlformats.org/spreadsheetml/2006/main">
  <authors>
    <author>Kerry Goodrich</author>
  </authors>
  <commentList>
    <comment ref="A17" authorId="0">
      <text>
        <r>
          <rPr>
            <b/>
            <sz val="8"/>
            <rFont val="Tahoma"/>
            <family val="0"/>
          </rPr>
          <t>Enter values obtained from the manure calcu
lator to the right.</t>
        </r>
        <r>
          <rPr>
            <sz val="8"/>
            <rFont val="Tahoma"/>
            <family val="0"/>
          </rPr>
          <t xml:space="preserve">
</t>
        </r>
      </text>
    </comment>
    <comment ref="S12" authorId="0">
      <text>
        <r>
          <rPr>
            <b/>
            <sz val="8"/>
            <rFont val="Tahoma"/>
            <family val="0"/>
          </rPr>
          <t>Enter the tons of manure to be applied based on either nitrogen or phosphorus.  Obtain the values from the manure balance worksheet.</t>
        </r>
      </text>
    </comment>
    <comment ref="Q19" authorId="0">
      <text>
        <r>
          <rPr>
            <b/>
            <sz val="8"/>
            <rFont val="Tahoma"/>
            <family val="0"/>
          </rPr>
          <t>Alfalfa must be entered as the first crop in the rotation for this calculation to be correct.</t>
        </r>
      </text>
    </comment>
    <comment ref="A12" authorId="0">
      <text>
        <r>
          <rPr>
            <b/>
            <sz val="8"/>
            <rFont val="Tahoma"/>
            <family val="0"/>
          </rPr>
          <t>Carryover of excess nutrients.  N is not carried over due to potential leaching losses.</t>
        </r>
      </text>
    </comment>
    <comment ref="A13" authorId="0">
      <text>
        <r>
          <rPr>
            <b/>
            <sz val="8"/>
            <rFont val="Tahoma"/>
            <family val="0"/>
          </rPr>
          <t xml:space="preserve">
Approximate Lbs of N Released
through Mineralization
               Silt      Clay     Sandy
 %OM     Loams   Loams   Loams
 1.0         23         18         50
 1.5         34         27         75
 2.0         45         36       100
</t>
        </r>
      </text>
    </comment>
    <comment ref="A14" authorId="0">
      <text>
        <r>
          <rPr>
            <b/>
            <sz val="8"/>
            <rFont val="Tahoma"/>
            <family val="0"/>
          </rPr>
          <t>Nitrogen Supplied After Plow Out 
of Alfalfa
Alfalfa Yield    1st year     2nd year
2-4 tons/acre    80 lbs       20 lbs
4-6 tons/acre   150 lbs      30 lbs
6-8 tons/acre   200 lbs      40 lbs</t>
        </r>
      </text>
    </comment>
    <comment ref="A15" authorId="0">
      <text>
        <r>
          <rPr>
            <b/>
            <sz val="8"/>
            <rFont val="Tahoma"/>
            <family val="0"/>
          </rPr>
          <t>If above normal residues are left on the surface or plowed down, 1 lb of additional nitrogen should be added for every 100 lbs of residue.</t>
        </r>
        <r>
          <rPr>
            <sz val="8"/>
            <rFont val="Tahoma"/>
            <family val="0"/>
          </rPr>
          <t xml:space="preserve">
</t>
        </r>
      </text>
    </comment>
    <comment ref="A16" authorId="0">
      <text>
        <r>
          <rPr>
            <b/>
            <sz val="8"/>
            <rFont val="Tahoma"/>
            <family val="0"/>
          </rPr>
          <t>Enter lbs of N, P205, and K20 applied with commercial fertilizer.</t>
        </r>
        <r>
          <rPr>
            <sz val="8"/>
            <rFont val="Tahoma"/>
            <family val="0"/>
          </rPr>
          <t xml:space="preserve">
</t>
        </r>
      </text>
    </comment>
    <comment ref="A19" authorId="0">
      <text>
        <r>
          <rPr>
            <b/>
            <sz val="8"/>
            <rFont val="Tahoma"/>
            <family val="0"/>
          </rPr>
          <t xml:space="preserve">Legumes supply their own nitrogen.  Enter the amount of nitrogen supplied by the crop.
Alfalfa   80 - 300 lbs/ac*     *Amounts may vary
Clovers  90 - 120 lbs/ac*       dependent on the
Forage Peas   50 lbs/ac          % legume in the
Sweet Vetch   80 lbs/ac          pasture.
</t>
        </r>
        <r>
          <rPr>
            <sz val="8"/>
            <rFont val="Tahoma"/>
            <family val="0"/>
          </rPr>
          <t xml:space="preserve">
</t>
        </r>
      </text>
    </comment>
    <comment ref="A18" authorId="0">
      <text>
        <r>
          <rPr>
            <b/>
            <sz val="8"/>
            <rFont val="Tahoma"/>
            <family val="0"/>
          </rPr>
          <t>Irrigation waters in Utah supply varying amounts of nutrients.  Lower stream reaches in most of Utah supply large amounts of potassium.  In addition, soils in Utah contain high background levels of K.  The need for K applications may best be determined through a soil test.  The nutrients supplied by various streams in Utah can be obtained from Agronomy Tech Note UT190-4-2 titled "Irrigation Resources in Utah:  Water Quality versus Soil Salinity, Soil Fertility and the Environment".</t>
        </r>
        <r>
          <rPr>
            <sz val="8"/>
            <rFont val="Tahoma"/>
            <family val="0"/>
          </rPr>
          <t xml:space="preserve">
</t>
        </r>
      </text>
    </comment>
    <comment ref="A53" authorId="0">
      <text>
        <r>
          <rPr>
            <b/>
            <sz val="8"/>
            <rFont val="Tahoma"/>
            <family val="0"/>
          </rPr>
          <t>Carryover of excess nutrients.  N is not carried over due to potential leaching losses.</t>
        </r>
      </text>
    </comment>
    <comment ref="A54" authorId="0">
      <text>
        <r>
          <rPr>
            <b/>
            <sz val="8"/>
            <rFont val="Tahoma"/>
            <family val="0"/>
          </rPr>
          <t xml:space="preserve">
Approximate Lbs of N Released
through Mineralization
               Silt      Clay     Sandy
 %OM     Loams   Loams   Loams
 1.0         23         18         50
 1.5         34         27         75
 2.0         45         36       100
</t>
        </r>
      </text>
    </comment>
    <comment ref="A55" authorId="0">
      <text>
        <r>
          <rPr>
            <b/>
            <sz val="8"/>
            <rFont val="Tahoma"/>
            <family val="0"/>
          </rPr>
          <t>Nitrogen Supplied After Plow Out 
of Alfalfa
Alfalfa Yield    1st year     2nd year
2-4 tons/acre    80 lbs       20 lbs
4-6 tons/acre   150 lbs      30 lbs
6-8 tons/acre   200 lbs      40 lbs</t>
        </r>
      </text>
    </comment>
    <comment ref="A56" authorId="0">
      <text>
        <r>
          <rPr>
            <b/>
            <sz val="8"/>
            <rFont val="Tahoma"/>
            <family val="0"/>
          </rPr>
          <t>If above normal residues are left on the surface or plowed down, 1 lb of additional nitrogen should be added for every 100 lbs of residue.</t>
        </r>
        <r>
          <rPr>
            <sz val="8"/>
            <rFont val="Tahoma"/>
            <family val="0"/>
          </rPr>
          <t xml:space="preserve">
</t>
        </r>
      </text>
    </comment>
    <comment ref="A57" authorId="0">
      <text>
        <r>
          <rPr>
            <b/>
            <sz val="8"/>
            <rFont val="Tahoma"/>
            <family val="0"/>
          </rPr>
          <t>Enter lbs of N, P205, and K20 applied with commercial fertilizer.</t>
        </r>
        <r>
          <rPr>
            <sz val="8"/>
            <rFont val="Tahoma"/>
            <family val="0"/>
          </rPr>
          <t xml:space="preserve">
</t>
        </r>
      </text>
    </comment>
    <comment ref="A58" authorId="0">
      <text>
        <r>
          <rPr>
            <b/>
            <sz val="8"/>
            <rFont val="Tahoma"/>
            <family val="0"/>
          </rPr>
          <t>Enter values obtained from the manure calcu
lator to the right.</t>
        </r>
        <r>
          <rPr>
            <sz val="8"/>
            <rFont val="Tahoma"/>
            <family val="0"/>
          </rPr>
          <t xml:space="preserve">
</t>
        </r>
      </text>
    </comment>
    <comment ref="A59" authorId="0">
      <text>
        <r>
          <rPr>
            <b/>
            <sz val="8"/>
            <rFont val="Tahoma"/>
            <family val="0"/>
          </rPr>
          <t>Irrigation waters in Utah supply varying amounts of nutrients.  Lower stream reaches in most of Utah supply large amounts of potassium.  In addition, soils in Utah contain high background levels of K.  The need for K applications may best be determined through a soil test.  The nutrients supplied by various streams in Utah can be obtained from Agronomy Tech Note UT190-4-2 titled "Irrigation Resources in Utah:  Water Quality versus Soil Salinity, Soil Fertility and the Environment".</t>
        </r>
        <r>
          <rPr>
            <sz val="8"/>
            <rFont val="Tahoma"/>
            <family val="0"/>
          </rPr>
          <t xml:space="preserve">
</t>
        </r>
      </text>
    </comment>
    <comment ref="A60" authorId="0">
      <text>
        <r>
          <rPr>
            <b/>
            <sz val="8"/>
            <rFont val="Tahoma"/>
            <family val="0"/>
          </rPr>
          <t xml:space="preserve">Legumes supply their own nitrogen.  Enter the amount of nitrogen supplied by the crop.
Alfalfa   80 - 300 lbs/ac*     *Amounts may vary
Clovers  90 - 120 lbs/ac*       dependent on the
Forage Peas   50 lbs/ac          % legume in the
Sweet Vetch   80 lbs/ac          pasture.
</t>
        </r>
        <r>
          <rPr>
            <sz val="8"/>
            <rFont val="Tahoma"/>
            <family val="0"/>
          </rPr>
          <t xml:space="preserve">
</t>
        </r>
      </text>
    </comment>
    <comment ref="Q6" authorId="0">
      <text>
        <r>
          <rPr>
            <b/>
            <sz val="8"/>
            <rFont val="Tahoma"/>
            <family val="0"/>
          </rPr>
          <t>Enter the percentage of N, P205, and K20 in the fertilizer to be applied.</t>
        </r>
        <r>
          <rPr>
            <sz val="8"/>
            <rFont val="Tahoma"/>
            <family val="0"/>
          </rPr>
          <t xml:space="preserve">
</t>
        </r>
      </text>
    </comment>
    <comment ref="T9" authorId="0">
      <text>
        <r>
          <rPr>
            <b/>
            <sz val="8"/>
            <rFont val="Tahoma"/>
            <family val="0"/>
          </rPr>
          <t>Enter the total pounds of fertilizer to be applied.  To have the computer determine this number go to Tools and Goal Seek and enter the desired number and the cell in which you want the number displayed.</t>
        </r>
        <r>
          <rPr>
            <sz val="8"/>
            <rFont val="Tahoma"/>
            <family val="0"/>
          </rPr>
          <t xml:space="preserve">
</t>
        </r>
      </text>
    </comment>
  </commentList>
</comments>
</file>

<file path=xl/sharedStrings.xml><?xml version="1.0" encoding="utf-8"?>
<sst xmlns="http://schemas.openxmlformats.org/spreadsheetml/2006/main" count="1251" uniqueCount="520">
  <si>
    <t>ANIMAL MANURE NUTRIENT BALANCE</t>
  </si>
  <si>
    <t xml:space="preserve">           File Name:</t>
  </si>
  <si>
    <t xml:space="preserve">For: </t>
  </si>
  <si>
    <t>Utah Dairy Farmer</t>
  </si>
  <si>
    <t xml:space="preserve"> </t>
  </si>
  <si>
    <t xml:space="preserve">    Date:</t>
  </si>
  <si>
    <t xml:space="preserve">County: </t>
  </si>
  <si>
    <t>Any Utah County</t>
  </si>
  <si>
    <t xml:space="preserve">System: </t>
  </si>
  <si>
    <t>Solid Waste System w/Bunkers</t>
  </si>
  <si>
    <t xml:space="preserve">By: </t>
  </si>
  <si>
    <t>kig</t>
  </si>
  <si>
    <t>Type</t>
  </si>
  <si>
    <t xml:space="preserve">          Manure Production Values</t>
  </si>
  <si>
    <t xml:space="preserve">Number of </t>
  </si>
  <si>
    <t>of</t>
  </si>
  <si>
    <t>N</t>
  </si>
  <si>
    <t>P205</t>
  </si>
  <si>
    <t>K20</t>
  </si>
  <si>
    <t>Volume</t>
  </si>
  <si>
    <t>Animal</t>
  </si>
  <si>
    <t>A.U.</t>
  </si>
  <si>
    <t>Days in System</t>
  </si>
  <si>
    <t>Grazing</t>
  </si>
  <si>
    <t>Confined</t>
  </si>
  <si>
    <t>lb/day</t>
  </si>
  <si>
    <t>cu ft/d</t>
  </si>
  <si>
    <t>#s</t>
  </si>
  <si>
    <t>Dairy (Lact)</t>
  </si>
  <si>
    <t>Dairy (Dry)</t>
  </si>
  <si>
    <t>Heifers</t>
  </si>
  <si>
    <t>Beef (Cow)</t>
  </si>
  <si>
    <t>Beef (Yrlng)</t>
  </si>
  <si>
    <t>Horses</t>
  </si>
  <si>
    <t xml:space="preserve">   Total A.U.'s:</t>
  </si>
  <si>
    <t>Totals:</t>
  </si>
  <si>
    <t>Bedding Material</t>
  </si>
  <si>
    <t>Straw (loose)</t>
  </si>
  <si>
    <t>*lbs/cuft</t>
  </si>
  <si>
    <t>Type of Loss</t>
  </si>
  <si>
    <t>P2O5</t>
  </si>
  <si>
    <t>K2O</t>
  </si>
  <si>
    <t># A.U.'s</t>
  </si>
  <si>
    <t># days</t>
  </si>
  <si>
    <t>lbs/day</t>
  </si>
  <si>
    <t>% Moist.</t>
  </si>
  <si>
    <t>tons/year</t>
  </si>
  <si>
    <t>cu yds/yr</t>
  </si>
  <si>
    <t>Storage</t>
  </si>
  <si>
    <t>Volatilization</t>
  </si>
  <si>
    <t>Manure</t>
  </si>
  <si>
    <t>Denitrification</t>
  </si>
  <si>
    <t xml:space="preserve">Total Tons/Cubic Yards     </t>
  </si>
  <si>
    <t>Mineralization</t>
  </si>
  <si>
    <t>Field</t>
  </si>
  <si>
    <t>Prod.</t>
  </si>
  <si>
    <t>Soil/Crop</t>
  </si>
  <si>
    <t>Inventory</t>
  </si>
  <si>
    <t>(Unit/A)</t>
  </si>
  <si>
    <t>N Credits</t>
  </si>
  <si>
    <t>Req'd</t>
  </si>
  <si>
    <t>Crop/ Major Species</t>
  </si>
  <si>
    <t>Acres</t>
  </si>
  <si>
    <t>(lb/ac)</t>
  </si>
  <si>
    <t>Alfalfa</t>
  </si>
  <si>
    <t>1,2,4,6</t>
  </si>
  <si>
    <t>Grass Hay</t>
  </si>
  <si>
    <t>Grass Pasture</t>
  </si>
  <si>
    <t>Corn Silage</t>
  </si>
  <si>
    <t>Fertilizer Value</t>
  </si>
  <si>
    <r>
      <t xml:space="preserve">    </t>
    </r>
    <r>
      <rPr>
        <b/>
        <sz val="12"/>
        <color indexed="8"/>
        <rFont val="Times New Roman"/>
        <family val="1"/>
      </rPr>
      <t>Spreader Calculations</t>
    </r>
  </si>
  <si>
    <t>Total Nutrients Required/Yr for Crop Production on:</t>
  </si>
  <si>
    <t>acres</t>
  </si>
  <si>
    <t>Moisture w/bedding</t>
  </si>
  <si>
    <t>Net Nutrients Available/Yr for Crop Production on:</t>
  </si>
  <si>
    <t>Expected Moisture</t>
  </si>
  <si>
    <t xml:space="preserve"> when applied (%)</t>
  </si>
  <si>
    <t>Dry Weight (manure</t>
  </si>
  <si>
    <t>Per acre</t>
  </si>
  <si>
    <t xml:space="preserve"> &amp; bedding in tons)</t>
  </si>
  <si>
    <t>Expected Weight</t>
  </si>
  <si>
    <t xml:space="preserve"> when applied (tons)</t>
  </si>
  <si>
    <t>Weight of manure</t>
  </si>
  <si>
    <t xml:space="preserve"> in lbs/cuft</t>
  </si>
  <si>
    <t>Spreader Size(cuft)</t>
  </si>
  <si>
    <t>Spreader Size(tons)</t>
  </si>
  <si>
    <t>Total Loads</t>
  </si>
  <si>
    <t>Loads per hour</t>
  </si>
  <si>
    <t>Total Hours</t>
  </si>
  <si>
    <t>Weight</t>
  </si>
  <si>
    <t>Moisture</t>
  </si>
  <si>
    <t>%</t>
  </si>
  <si>
    <t>Ducks</t>
  </si>
  <si>
    <t>Goats</t>
  </si>
  <si>
    <t>Poultry (Layr)</t>
  </si>
  <si>
    <t>Poultry (Pull)</t>
  </si>
  <si>
    <t>Sheep</t>
  </si>
  <si>
    <t>Swine (Boar)</t>
  </si>
  <si>
    <t>Swine (Gest)</t>
  </si>
  <si>
    <t>Swine (Grow)</t>
  </si>
  <si>
    <t>Swine (Lact)</t>
  </si>
  <si>
    <t>Swine (Nurs)</t>
  </si>
  <si>
    <t>Turkey (w/litter)</t>
  </si>
  <si>
    <t>Turkeys</t>
  </si>
  <si>
    <t>From: AWMFH, Chapter 4, p 8-17</t>
  </si>
  <si>
    <t>DAILY BEDDING REQUIREMENTS FOR DAIRY CATTLE</t>
  </si>
  <si>
    <t>Barn Type</t>
  </si>
  <si>
    <t>Material</t>
  </si>
  <si>
    <t>Stanchion</t>
  </si>
  <si>
    <t>Free Stl.</t>
  </si>
  <si>
    <t>Loose</t>
  </si>
  <si>
    <t>*lb/d/1000#</t>
  </si>
  <si>
    <t>Loose hay or straw</t>
  </si>
  <si>
    <t>Chopped hay or straw</t>
  </si>
  <si>
    <t>Shavings or sawdust</t>
  </si>
  <si>
    <t>Sand, soil, or limestone</t>
  </si>
  <si>
    <t>From: AWMFH, Chapter 4, p 7 - *Use actual values when available.</t>
  </si>
  <si>
    <t>Mixed*</t>
  </si>
  <si>
    <t>Percent</t>
  </si>
  <si>
    <t>TYPES OF BEDDING</t>
  </si>
  <si>
    <t>LBS/CuFt</t>
  </si>
  <si>
    <t>Cornstalks (shredded)</t>
  </si>
  <si>
    <t>10-20</t>
  </si>
  <si>
    <t>Legume hay (chopped)</t>
  </si>
  <si>
    <t>10-15</t>
  </si>
  <si>
    <t>Legume hay (loose)</t>
  </si>
  <si>
    <t>Nonlegume hay (chopped)</t>
  </si>
  <si>
    <t>Nonlegume hay (loose)</t>
  </si>
  <si>
    <t>Sand</t>
  </si>
  <si>
    <t>15-30</t>
  </si>
  <si>
    <t>SawDust</t>
  </si>
  <si>
    <t>Soil</t>
  </si>
  <si>
    <t>15-50</t>
  </si>
  <si>
    <t>Straw (baled)</t>
  </si>
  <si>
    <t>5-15</t>
  </si>
  <si>
    <t>Straw (chopped)</t>
  </si>
  <si>
    <t>Straw-Oats (baled)</t>
  </si>
  <si>
    <t>Straw-Wheat (baled)</t>
  </si>
  <si>
    <t>Wood Chips/Shavings</t>
  </si>
  <si>
    <t>From: AWM Ut-2.22.2, Dec 1997, Page 40</t>
  </si>
  <si>
    <t>* Lbs/CuFt of bedding when mixed with manure</t>
  </si>
  <si>
    <t>STORAGE LOSSES (% Left)</t>
  </si>
  <si>
    <t>H20</t>
  </si>
  <si>
    <t xml:space="preserve">      Beef</t>
  </si>
  <si>
    <t xml:space="preserve">      Dairy</t>
  </si>
  <si>
    <t xml:space="preserve">      Poultry</t>
  </si>
  <si>
    <t xml:space="preserve">      Swine</t>
  </si>
  <si>
    <t>Open lot, cool, humid</t>
  </si>
  <si>
    <t>Open lot, hot, arid</t>
  </si>
  <si>
    <t>Covered, watertight structure</t>
  </si>
  <si>
    <t>Uncovered, watertight</t>
  </si>
  <si>
    <t xml:space="preserve">     structure</t>
  </si>
  <si>
    <t>Waste storage pond</t>
  </si>
  <si>
    <t xml:space="preserve">     with &lt; 50% dilution</t>
  </si>
  <si>
    <t xml:space="preserve">     anaerobic, or </t>
  </si>
  <si>
    <t xml:space="preserve">     &gt; 50% dilution</t>
  </si>
  <si>
    <t>Manure &amp; bedding in</t>
  </si>
  <si>
    <t xml:space="preserve">     roofed storage</t>
  </si>
  <si>
    <t xml:space="preserve">     unroofed storage</t>
  </si>
  <si>
    <t>Manure stored in pits</t>
  </si>
  <si>
    <t xml:space="preserve">     beneath slatted floor</t>
  </si>
  <si>
    <t>NITROGEN DENITRIFICATION:  PERCENT RETAINED *</t>
  </si>
  <si>
    <t>SOIL ORGANIC MATTER CONTENT</t>
  </si>
  <si>
    <t>From: AWMFH, Chapter 11, p 11-21</t>
  </si>
  <si>
    <t>SOIL DRAINAGE</t>
  </si>
  <si>
    <t>&lt;2%</t>
  </si>
  <si>
    <t>2-5%</t>
  </si>
  <si>
    <t>&gt;5%</t>
  </si>
  <si>
    <t>Excessively Well Drained</t>
  </si>
  <si>
    <t>* Marty Chaney cites tests that</t>
  </si>
  <si>
    <t>Well Drained</t>
  </si>
  <si>
    <t>values range from 75-85.</t>
  </si>
  <si>
    <t>ModeratelyWell Drained</t>
  </si>
  <si>
    <t>Poorly Drained</t>
  </si>
  <si>
    <t>MINERALIZATION RATES AT 3 YEARS AND LONGER</t>
  </si>
  <si>
    <t>AMMONIA VOLATILIZATION RATES</t>
  </si>
  <si>
    <t xml:space="preserve">TYPE OF WASTE &amp; </t>
  </si>
  <si>
    <t>MANAGEMENT</t>
  </si>
  <si>
    <t>Application Method</t>
  </si>
  <si>
    <t>Percent Remaining</t>
  </si>
  <si>
    <t>Fresh Poultry Manure</t>
  </si>
  <si>
    <t>Injection</t>
  </si>
  <si>
    <t>Fresh Swine/Cattle Manure</t>
  </si>
  <si>
    <t>Sprinkling</t>
  </si>
  <si>
    <t xml:space="preserve">Layer Manure from Pit Storage </t>
  </si>
  <si>
    <t>Broadcast (fresh solids)</t>
  </si>
  <si>
    <t xml:space="preserve">Swine/Cattle Stored in </t>
  </si>
  <si>
    <t xml:space="preserve">  Days between application</t>
  </si>
  <si>
    <t xml:space="preserve">    Soil Conditions</t>
  </si>
  <si>
    <t xml:space="preserve">   Covered Storage</t>
  </si>
  <si>
    <t xml:space="preserve">  and incorporation</t>
  </si>
  <si>
    <t>warm dry</t>
  </si>
  <si>
    <t>warm wet</t>
  </si>
  <si>
    <t>cool wet</t>
  </si>
  <si>
    <t>Swine/Cattle Stored in Open</t>
  </si>
  <si>
    <t xml:space="preserve">   Structure or Pond (undiluted)</t>
  </si>
  <si>
    <t>Cattle Manure w/Bedding</t>
  </si>
  <si>
    <t>7 or more</t>
  </si>
  <si>
    <t xml:space="preserve">   Waste Storage Pond</t>
  </si>
  <si>
    <t>Manure Stored on Open Lot</t>
  </si>
  <si>
    <t>From: AWMFH, Chapter 11, p 11-19</t>
  </si>
  <si>
    <t xml:space="preserve">    in Hot-Arid Region</t>
  </si>
  <si>
    <t>Horse Manure</t>
  </si>
  <si>
    <t>Compost</t>
  </si>
  <si>
    <t>From: AWMFH, Chapter 11, p 11-22</t>
  </si>
  <si>
    <t>PLANT NUTRIENT UPTAKE  (lbs/unit of prod.)</t>
  </si>
  <si>
    <t>CROP</t>
  </si>
  <si>
    <t xml:space="preserve">N  </t>
  </si>
  <si>
    <t>Alfalfa Haylage</t>
  </si>
  <si>
    <t>Barley</t>
  </si>
  <si>
    <t>Corn Grain</t>
  </si>
  <si>
    <t>Oats</t>
  </si>
  <si>
    <t>Onions</t>
  </si>
  <si>
    <t>Potatoes</t>
  </si>
  <si>
    <t>Reed Canarygrass</t>
  </si>
  <si>
    <t>Small Grain Haylage</t>
  </si>
  <si>
    <t>Sorghum/Sudangrass</t>
  </si>
  <si>
    <t>For:</t>
  </si>
  <si>
    <t>Date:</t>
  </si>
  <si>
    <t>By:</t>
  </si>
  <si>
    <t>Location: Tract/Field(s)</t>
  </si>
  <si>
    <t>Crop Rotation: Crop/Years</t>
  </si>
  <si>
    <t>Target Yield/Unit:</t>
  </si>
  <si>
    <t>tons</t>
  </si>
  <si>
    <t>bu</t>
  </si>
  <si>
    <t>Nutrient:</t>
  </si>
  <si>
    <t>Nutrients needed for target</t>
  </si>
  <si>
    <t>yield in pounds/acre</t>
  </si>
  <si>
    <t xml:space="preserve">   + Normal soil release</t>
  </si>
  <si>
    <t xml:space="preserve">   + N from prior crop</t>
  </si>
  <si>
    <t xml:space="preserve">   - N for additional residue</t>
  </si>
  <si>
    <t xml:space="preserve">   + Commercial fertilizer</t>
  </si>
  <si>
    <t xml:space="preserve">   + Animal Waste</t>
  </si>
  <si>
    <t xml:space="preserve">   + Supplied in water</t>
  </si>
  <si>
    <t xml:space="preserve">   + Supplied by crop</t>
  </si>
  <si>
    <t>Total added/subtracted:</t>
  </si>
  <si>
    <t>Balance:</t>
  </si>
  <si>
    <t>Excess (+)</t>
  </si>
  <si>
    <t>Deficient (-)</t>
  </si>
  <si>
    <t>MANURE BALANCE BY FIELD AND ANIMALS GRAZED</t>
  </si>
  <si>
    <t>Manure Production Values</t>
  </si>
  <si>
    <t>A.U.**</t>
  </si>
  <si>
    <t xml:space="preserve">Type </t>
  </si>
  <si>
    <t>No.</t>
  </si>
  <si>
    <t>Field Inventory</t>
  </si>
  <si>
    <t>Nutrients Available</t>
  </si>
  <si>
    <t xml:space="preserve">of </t>
  </si>
  <si>
    <t>Numbers</t>
  </si>
  <si>
    <t>from</t>
  </si>
  <si>
    <t xml:space="preserve"> Days</t>
  </si>
  <si>
    <t>from Grazing</t>
  </si>
  <si>
    <t>Animal **</t>
  </si>
  <si>
    <t>Above</t>
  </si>
  <si>
    <t>** NOTE:  ENTER EXACTLY AS LISTED IN TABLE ABOVE, INCLUDING CAPITAL AND LOWERCASE.</t>
  </si>
  <si>
    <t xml:space="preserve">Additional Nutrients </t>
  </si>
  <si>
    <t xml:space="preserve">Excess Nutrients </t>
  </si>
  <si>
    <t>Nutrients Supplied</t>
  </si>
  <si>
    <t>Needed per acre</t>
  </si>
  <si>
    <t>per acre</t>
  </si>
  <si>
    <t>(Percent of Needed)</t>
  </si>
  <si>
    <t>TOTALS</t>
  </si>
  <si>
    <t>Supplied from Grazing</t>
  </si>
  <si>
    <t>Needed for all fields</t>
  </si>
  <si>
    <t>Total deficit or excess</t>
  </si>
  <si>
    <t>CONVERSION FACTOR CALCULATOR</t>
  </si>
  <si>
    <t>From</t>
  </si>
  <si>
    <t>Factor</t>
  </si>
  <si>
    <t>To</t>
  </si>
  <si>
    <t xml:space="preserve"> ac ft</t>
  </si>
  <si>
    <t xml:space="preserve"> ac in</t>
  </si>
  <si>
    <t xml:space="preserve"> cu ft</t>
  </si>
  <si>
    <t xml:space="preserve"> gallons</t>
  </si>
  <si>
    <t xml:space="preserve"> acres</t>
  </si>
  <si>
    <t xml:space="preserve"> sq ft</t>
  </si>
  <si>
    <t xml:space="preserve"> bushels</t>
  </si>
  <si>
    <t xml:space="preserve"> cu yds</t>
  </si>
  <si>
    <t xml:space="preserve"> cfs</t>
  </si>
  <si>
    <t xml:space="preserve"> gpm</t>
  </si>
  <si>
    <t xml:space="preserve"> cu ft  </t>
  </si>
  <si>
    <t xml:space="preserve"> cu ft (wet)</t>
  </si>
  <si>
    <t xml:space="preserve"> lbs</t>
  </si>
  <si>
    <t xml:space="preserve"> tons</t>
  </si>
  <si>
    <t xml:space="preserve"> lbs </t>
  </si>
  <si>
    <t xml:space="preserve"> K</t>
  </si>
  <si>
    <t xml:space="preserve"> K20</t>
  </si>
  <si>
    <t xml:space="preserve"> K </t>
  </si>
  <si>
    <t xml:space="preserve"> mph</t>
  </si>
  <si>
    <t xml:space="preserve"> fps</t>
  </si>
  <si>
    <r>
      <t xml:space="preserve"> NH</t>
    </r>
    <r>
      <rPr>
        <vertAlign val="subscript"/>
        <sz val="12"/>
        <rFont val="Times New Roman"/>
        <family val="1"/>
      </rPr>
      <t>3</t>
    </r>
  </si>
  <si>
    <t xml:space="preserve"> N</t>
  </si>
  <si>
    <r>
      <t xml:space="preserve"> NH</t>
    </r>
    <r>
      <rPr>
        <vertAlign val="subscript"/>
        <sz val="12"/>
        <rFont val="Times New Roman"/>
        <family val="1"/>
      </rPr>
      <t>4</t>
    </r>
  </si>
  <si>
    <r>
      <t xml:space="preserve"> NO</t>
    </r>
    <r>
      <rPr>
        <vertAlign val="subscript"/>
        <sz val="12"/>
        <rFont val="Times New Roman"/>
        <family val="1"/>
      </rPr>
      <t>3</t>
    </r>
  </si>
  <si>
    <t xml:space="preserve"> P</t>
  </si>
  <si>
    <t xml:space="preserve"> P205</t>
  </si>
  <si>
    <t xml:space="preserve"> P </t>
  </si>
  <si>
    <t xml:space="preserve"> ppm</t>
  </si>
  <si>
    <t xml:space="preserve"> lbs/ac in</t>
  </si>
  <si>
    <t xml:space="preserve"> mg/l</t>
  </si>
  <si>
    <t>20-60</t>
  </si>
  <si>
    <t>cwt</t>
  </si>
  <si>
    <t>Unit</t>
  </si>
  <si>
    <t>Dry Manure Production Values-As Excreted</t>
  </si>
  <si>
    <t>Confinement Bedding &amp; Manure Weight/Volume</t>
  </si>
  <si>
    <t>by Crop in lbs/unit</t>
  </si>
  <si>
    <t>Annual Nutrients Removed</t>
  </si>
  <si>
    <t>Hybrid Poplar</t>
  </si>
  <si>
    <t>lbs</t>
  </si>
  <si>
    <t>Bromegrass</t>
  </si>
  <si>
    <t>Tall Fescue</t>
  </si>
  <si>
    <t>Sweet Corn</t>
  </si>
  <si>
    <t>Apples</t>
  </si>
  <si>
    <t>Comments/Recommendations:</t>
  </si>
  <si>
    <t>Liquid Manure Production Values</t>
  </si>
  <si>
    <t>Wastewater</t>
  </si>
  <si>
    <t>lb/1000 g</t>
  </si>
  <si>
    <t>lb/1000g</t>
  </si>
  <si>
    <t>Dairy</t>
  </si>
  <si>
    <t>Milkhouse</t>
  </si>
  <si>
    <t>MH + Parlor</t>
  </si>
  <si>
    <t>MH+P+HA</t>
  </si>
  <si>
    <t>AE Supernatant</t>
  </si>
  <si>
    <t>Beef</t>
  </si>
  <si>
    <t>Pond Supernatant</t>
  </si>
  <si>
    <t>Pond Sludge</t>
  </si>
  <si>
    <t>High Runoff</t>
  </si>
  <si>
    <t>Avg. Runoff</t>
  </si>
  <si>
    <t>Low Runoff</t>
  </si>
  <si>
    <t>Swine</t>
  </si>
  <si>
    <t>Slats (Farrow)</t>
  </si>
  <si>
    <t>Slats (Gest.)</t>
  </si>
  <si>
    <t>Slats (Growing)</t>
  </si>
  <si>
    <t>Poultry</t>
  </si>
  <si>
    <t>Layer Supernatant</t>
  </si>
  <si>
    <t>Layer Sludge</t>
  </si>
  <si>
    <t>Pullet Supernatant</t>
  </si>
  <si>
    <t>Pullet Sludge</t>
  </si>
  <si>
    <t>Typical Daily Water/Flush Values</t>
  </si>
  <si>
    <t>Dairy Animal Waste Deposition</t>
  </si>
  <si>
    <t>Area</t>
  </si>
  <si>
    <t>Gal/Head</t>
  </si>
  <si>
    <t>Housing Area</t>
  </si>
  <si>
    <t>5-10</t>
  </si>
  <si>
    <t>Feeding Area</t>
  </si>
  <si>
    <t>Auto. Milkhouse</t>
  </si>
  <si>
    <t>Holding Pen</t>
  </si>
  <si>
    <t>Milk Parlor</t>
  </si>
  <si>
    <t>Sow &amp; Litter</t>
  </si>
  <si>
    <t>Nursery Pig</t>
  </si>
  <si>
    <t>* Idaho Waste Management Guidelines</t>
  </si>
  <si>
    <t>Growing Pig</t>
  </si>
  <si>
    <t>Gest. Sow</t>
  </si>
  <si>
    <t>Dairy Flush</t>
  </si>
  <si>
    <t>* AWMFH Chapter 4, page 4-8, Chapter 10, page 10-5</t>
  </si>
  <si>
    <t>Runoff Values for Utah</t>
  </si>
  <si>
    <t>Surface</t>
  </si>
  <si>
    <t>Runoff</t>
  </si>
  <si>
    <t>Surfaced lots</t>
  </si>
  <si>
    <t>25-35</t>
  </si>
  <si>
    <t>Unsurfaced lots</t>
  </si>
  <si>
    <t>* AWMFH Chapter10, pages 10C-5 to 10C-31</t>
  </si>
  <si>
    <t>Days in</t>
  </si>
  <si>
    <t>% Manure</t>
  </si>
  <si>
    <t xml:space="preserve">         Net Nutrients in lbs</t>
  </si>
  <si>
    <t>Evaluation</t>
  </si>
  <si>
    <t>Stored</t>
  </si>
  <si>
    <t>from Solid Manure</t>
  </si>
  <si>
    <t>Period</t>
  </si>
  <si>
    <t>as Liquid</t>
  </si>
  <si>
    <t xml:space="preserve">Calculations: </t>
  </si>
  <si>
    <t>Manure (gal)</t>
  </si>
  <si>
    <t>Liquid (gal)</t>
  </si>
  <si>
    <t>Water (gal)</t>
  </si>
  <si>
    <t>Solids (gal)</t>
  </si>
  <si>
    <t xml:space="preserve">      Liquid Production Values</t>
  </si>
  <si>
    <t>Wash</t>
  </si>
  <si>
    <t>Water in</t>
  </si>
  <si>
    <t xml:space="preserve">           in Liquid Manure</t>
  </si>
  <si>
    <t xml:space="preserve">Subtotals: </t>
  </si>
  <si>
    <t>lb/1000gal</t>
  </si>
  <si>
    <t>g/d/head</t>
  </si>
  <si>
    <t>TOTALS:</t>
  </si>
  <si>
    <t xml:space="preserve">Totals: </t>
  </si>
  <si>
    <t>Lot Size</t>
  </si>
  <si>
    <t>Rain in</t>
  </si>
  <si>
    <t>Total</t>
  </si>
  <si>
    <t>Water</t>
  </si>
  <si>
    <t>Solids</t>
  </si>
  <si>
    <t>Additional Water</t>
  </si>
  <si>
    <t>(sq.ft.)</t>
  </si>
  <si>
    <t>1000 gal</t>
  </si>
  <si>
    <t>Lot Runoff</t>
  </si>
  <si>
    <t>Wash/Flush Water</t>
  </si>
  <si>
    <t xml:space="preserve">Total Volume    </t>
  </si>
  <si>
    <t>% Moisture in Mix</t>
  </si>
  <si>
    <t>Desired Moisture</t>
  </si>
  <si>
    <t xml:space="preserve">  for Application (%)</t>
  </si>
  <si>
    <t>Gallons (1000) to</t>
  </si>
  <si>
    <t>Spreader Size (gal)</t>
  </si>
  <si>
    <t>Net Nutrients Available in Liquid Manure, during Period:</t>
  </si>
  <si>
    <t>Hours to Apply</t>
  </si>
  <si>
    <t>Percent of Nutrient Needs Supplied by Liquid Manure:</t>
  </si>
  <si>
    <t>File:</t>
  </si>
  <si>
    <t xml:space="preserve">    Additional Pounds of Nutrients Needed on:</t>
  </si>
  <si>
    <t xml:space="preserve">    Total Excess Pounds of Nutrients on:</t>
  </si>
  <si>
    <t xml:space="preserve">    Amount of Stored Nutrients in lbs/1000 gal available to apply to fields:</t>
  </si>
  <si>
    <t>Application Rate</t>
  </si>
  <si>
    <t>in 1000 gallons/ac</t>
  </si>
  <si>
    <t>in tons/ac</t>
  </si>
  <si>
    <t>1</t>
  </si>
  <si>
    <t>Wash Water to Concrete Storage</t>
  </si>
  <si>
    <t>Nutrient Retention Values (%)  (See Losses)</t>
  </si>
  <si>
    <t>(%) (See Losses)</t>
  </si>
  <si>
    <t>Nutrient Retention Values</t>
  </si>
  <si>
    <t>Liquid Manure Production &amp; Volume</t>
  </si>
  <si>
    <t xml:space="preserve"> Period</t>
  </si>
  <si>
    <t>(See Wet Prod. Values)</t>
  </si>
  <si>
    <t>LIQUID ANIMAL MANURE NUTRIENT BALANCE</t>
  </si>
  <si>
    <t>Manure (cuft)</t>
  </si>
  <si>
    <t>Solids/Water Mixture</t>
  </si>
  <si>
    <t>Application Calculations</t>
  </si>
  <si>
    <t xml:space="preserve">  add for desired moisture</t>
  </si>
  <si>
    <t>Total Volume/Mix</t>
  </si>
  <si>
    <t xml:space="preserve">  rate in gpm</t>
  </si>
  <si>
    <t>Irrigation/Pump</t>
  </si>
  <si>
    <t>Hours to Irr/Pump</t>
  </si>
  <si>
    <t>*Value entered by computer is for mixed lbs/cuft</t>
  </si>
  <si>
    <t>Distance to</t>
  </si>
  <si>
    <t>Loads/acre</t>
  </si>
  <si>
    <t xml:space="preserve">Spread Width: </t>
  </si>
  <si>
    <t>Manure Weight (lbs/cuft):</t>
  </si>
  <si>
    <t>Travel in Feet</t>
  </si>
  <si>
    <t>Travel in Miles</t>
  </si>
  <si>
    <t>Loads</t>
  </si>
  <si>
    <t>Total Manure Weight (tons):</t>
  </si>
  <si>
    <t xml:space="preserve">Spreader Type: </t>
  </si>
  <si>
    <t>Box Spreader</t>
  </si>
  <si>
    <t xml:space="preserve">Spreader Size (gal): </t>
  </si>
  <si>
    <t>Tank Spreader</t>
  </si>
  <si>
    <t>in 1000 gal/ac</t>
  </si>
  <si>
    <t>Spreader Size (cuft):</t>
  </si>
  <si>
    <t>File Name:</t>
  </si>
  <si>
    <t xml:space="preserve">    Date: </t>
  </si>
  <si>
    <t>AN Sludge 1</t>
  </si>
  <si>
    <t>AN Sludge 2</t>
  </si>
  <si>
    <t>AN Supernatant 1</t>
  </si>
  <si>
    <t>AN Supernatant 2</t>
  </si>
  <si>
    <t>Lists</t>
  </si>
  <si>
    <t>Acres Needed of Each Crop to</t>
  </si>
  <si>
    <t>Utilize all Manure Produced</t>
  </si>
  <si>
    <t>Acres Needed of Alfalfa to</t>
  </si>
  <si>
    <t>Manure volume</t>
  </si>
  <si>
    <t>in cu.ft.</t>
  </si>
  <si>
    <t>Total Ac.</t>
  </si>
  <si>
    <t>*Totals:</t>
  </si>
  <si>
    <t xml:space="preserve">  Percent of Nutrient Needs Supplied from Stored Manure, Annually:</t>
  </si>
  <si>
    <t>*For stored manure only</t>
  </si>
  <si>
    <t>Annual Net Nutrients Available in Stored Manure, After Losses:</t>
  </si>
  <si>
    <t>Annual Net Nutrients Available from Grazing, After Losses:</t>
  </si>
  <si>
    <t>Net Nutrients Available in lbs (After Losses)</t>
  </si>
  <si>
    <t>Percent of Nutrient Needs Supplied from Stored Manure and Grazing:</t>
  </si>
  <si>
    <t xml:space="preserve">  Amount of Stored Nutrients in lbs/ton Available to Apply to Fields:</t>
  </si>
  <si>
    <t>**Totals:</t>
  </si>
  <si>
    <t>** For stored manure and grazing</t>
  </si>
  <si>
    <t xml:space="preserve">  *Totals:</t>
  </si>
  <si>
    <t>Acres of Each Crop Needed to</t>
  </si>
  <si>
    <t>Acres of Alfalfa Needed to</t>
  </si>
  <si>
    <t xml:space="preserve">  Pounds of Nutrients/acre in Droppings, Assumes Equal Distribution:</t>
  </si>
  <si>
    <t>Nutrients Required for</t>
  </si>
  <si>
    <t>Each Field (lbs)</t>
  </si>
  <si>
    <t>List</t>
  </si>
  <si>
    <t>Rotational Nutrient Balance Worksheet</t>
  </si>
  <si>
    <t>Chickpeas</t>
  </si>
  <si>
    <t>Beef (Feeder)</t>
  </si>
  <si>
    <t>65*</t>
  </si>
  <si>
    <t>56*</t>
  </si>
  <si>
    <t>25*</t>
  </si>
  <si>
    <t>*Numbers modified from AWMFH based on USU data</t>
  </si>
  <si>
    <t>20*</t>
  </si>
  <si>
    <t xml:space="preserve">Acres of Alfalfa Needed to Utilize all Manure Produced (Based on Crop Phosphorus Needs): </t>
  </si>
  <si>
    <t>Solid Spreader Application Rate Table</t>
  </si>
  <si>
    <t>Liquid Spreader Application Rate Table</t>
  </si>
  <si>
    <t>None</t>
  </si>
  <si>
    <t>AU's</t>
  </si>
  <si>
    <t>Animal Type</t>
  </si>
  <si>
    <t xml:space="preserve">   + Carryover</t>
  </si>
  <si>
    <t>lbs/ton</t>
  </si>
  <si>
    <t>Manure Values</t>
  </si>
  <si>
    <t>Tons to be applied</t>
  </si>
  <si>
    <t>lbs/acre</t>
  </si>
  <si>
    <t>Manure Calculator</t>
  </si>
  <si>
    <t>Years of Carryover P205 &amp; K20</t>
  </si>
  <si>
    <t>Fertilizer Calculator</t>
  </si>
  <si>
    <t>Fert. Form</t>
  </si>
  <si>
    <t>Ver. 3.0e2</t>
  </si>
  <si>
    <t>Manure3.1e.xls</t>
  </si>
  <si>
    <t>Ver. 3.1e</t>
  </si>
  <si>
    <t>Beans, Snap</t>
  </si>
  <si>
    <t>Canola</t>
  </si>
  <si>
    <t>Carrots</t>
  </si>
  <si>
    <t>Grass 100%</t>
  </si>
  <si>
    <t>Grass 25% Legume 75%</t>
  </si>
  <si>
    <t>Grass 50% Legume 50%</t>
  </si>
  <si>
    <t>Grass 75% Legume 25%</t>
  </si>
  <si>
    <t>Oats, Silage/Hay</t>
  </si>
  <si>
    <t>Safflower, Dry</t>
  </si>
  <si>
    <t>Safflower, Irrigated</t>
  </si>
  <si>
    <t>Squash/Pumpkins</t>
  </si>
  <si>
    <t>Triticale, Silage/Hay</t>
  </si>
  <si>
    <t>Wheat, Fall Dry</t>
  </si>
  <si>
    <t>Wheat, Irrigated</t>
  </si>
  <si>
    <t>From: AWM Ut-2.22.2, Dec 1997, Page 40; AWMFH Ch 6,</t>
  </si>
  <si>
    <t xml:space="preserve">             Western Fertilizer Handbook, Ortho Agronomy Handbook</t>
  </si>
  <si>
    <t>9-15</t>
  </si>
  <si>
    <t>5,7,8</t>
  </si>
  <si>
    <t>Tract 2500, Fields 1-8</t>
  </si>
  <si>
    <t>Apply manure at a rate of 20 tons/acre on 1st year of corn silage and 44 tons on the 2nd year of corn silage to meet nitrogen needs.  Apply 45 tons/acre on winter wheat.  Applying manure on the basis of nitrogen will always cause an overapplication of phosphorus and potassium.  Applying the recommended rates should supply all of the nitrogen needs of the corn and wheat and 3 years of P205 and 1 year of K20 to the alfalfa crop.  Apply 178 lbs/acre of 11-45-0 to alfalfa yearly after year three to supply the phosphorus needs of the alfalfa.  The manure from this operation supplies approximately 5 lbs/ton N, 4.5 lbs/ton P205, and 9.5 lbs/ton K20.  The values given in the manure estimates should be verified through yearly manure testing.  The actual need for phosphorus and potassium during alfalfa years should be determined through soil testing.</t>
  </si>
  <si>
    <t xml:space="preserve">   + Animal Manure</t>
  </si>
  <si>
    <t>Nutrients applied</t>
  </si>
  <si>
    <t xml:space="preserve">Total pounds of fertilizer applied:  </t>
  </si>
  <si>
    <t>3</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</si>
</sst>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0.0"/>
    <numFmt numFmtId="170" formatCode="#,##0.0_);\(#,##0.0\)"/>
    <numFmt numFmtId="171" formatCode="0.0%"/>
    <numFmt numFmtId="172" formatCode="mmmm\ d\,\ yyyy"/>
    <numFmt numFmtId="173" formatCode="dd\-mmm\-yy"/>
    <numFmt numFmtId="174" formatCode="mm/dd/yy"/>
    <numFmt numFmtId="175" formatCode="0.000"/>
    <numFmt numFmtId="176" formatCode="#,##0.0"/>
    <numFmt numFmtId="177" formatCode="mmmmm\-yy"/>
    <numFmt numFmtId="178" formatCode="0.00_);\(0.00\)"/>
    <numFmt numFmtId="179" formatCode="#,##0.0000"/>
    <numFmt numFmtId="180" formatCode="#,##0.000"/>
    <numFmt numFmtId="181" formatCode="0.000%"/>
    <numFmt numFmtId="182" formatCode="00000"/>
    <numFmt numFmtId="183" formatCode="#,##0.000_);\(#,##0.000\)"/>
    <numFmt numFmtId="184" formatCode="00000.0"/>
    <numFmt numFmtId="185" formatCode="0.000000"/>
    <numFmt numFmtId="186" formatCode="0.00000"/>
    <numFmt numFmtId="187" formatCode="0.0000"/>
    <numFmt numFmtId="188" formatCode="[$-409]dddd\,\ mmmm\ dd\,\ yyyy"/>
    <numFmt numFmtId="189" formatCode="&quot;Yes&quot;;&quot;Yes&quot;;&quot;No&quot;"/>
    <numFmt numFmtId="190" formatCode="&quot;True&quot;;&quot;True&quot;;&quot;False&quot;"/>
    <numFmt numFmtId="191" formatCode="&quot;On&quot;;&quot;On&quot;;&quot;Off&quot;"/>
    <numFmt numFmtId="192" formatCode="[$€-2]\ #,##0.00_);[Red]\([$€-2]\ #,##0.00\)"/>
  </numFmts>
  <fonts count="37">
    <font>
      <sz val="10"/>
      <color indexed="24"/>
      <name val="Arial"/>
      <family val="0"/>
    </font>
    <font>
      <b/>
      <sz val="18"/>
      <color indexed="24"/>
      <name val="Arial"/>
      <family val="0"/>
    </font>
    <font>
      <b/>
      <sz val="12"/>
      <color indexed="24"/>
      <name val="Arial"/>
      <family val="0"/>
    </font>
    <font>
      <b/>
      <sz val="10"/>
      <color indexed="24"/>
      <name val="Arial"/>
      <family val="0"/>
    </font>
    <font>
      <sz val="10"/>
      <color indexed="8"/>
      <name val="Arial"/>
      <family val="0"/>
    </font>
    <font>
      <sz val="12"/>
      <color indexed="8"/>
      <name val="Times"/>
      <family val="0"/>
    </font>
    <font>
      <sz val="12"/>
      <color indexed="8"/>
      <name val="Times New Roman"/>
      <family val="1"/>
    </font>
    <font>
      <sz val="10"/>
      <color indexed="8"/>
      <name val="Times New Roman"/>
      <family val="1"/>
    </font>
    <font>
      <b/>
      <sz val="12"/>
      <color indexed="8"/>
      <name val="Times New Roman"/>
      <family val="1"/>
    </font>
    <font>
      <sz val="12"/>
      <name val="Times New Roman"/>
      <family val="1"/>
    </font>
    <font>
      <sz val="12"/>
      <color indexed="24"/>
      <name val="Times New Roman"/>
      <family val="1"/>
    </font>
    <font>
      <b/>
      <sz val="12"/>
      <name val="Times New Roman"/>
      <family val="1"/>
    </font>
    <font>
      <sz val="10"/>
      <color indexed="24"/>
      <name val="Times New Roman"/>
      <family val="1"/>
    </font>
    <font>
      <sz val="10"/>
      <name val="Times New Roman"/>
      <family val="1"/>
    </font>
    <font>
      <b/>
      <sz val="16"/>
      <color indexed="8"/>
      <name val="Times New Roman"/>
      <family val="1"/>
    </font>
    <font>
      <b/>
      <sz val="10"/>
      <color indexed="8"/>
      <name val="Times New Roman"/>
      <family val="1"/>
    </font>
    <font>
      <b/>
      <sz val="14"/>
      <color indexed="8"/>
      <name val="Times New Roman"/>
      <family val="1"/>
    </font>
    <font>
      <sz val="10"/>
      <color indexed="9"/>
      <name val="Times New Roman"/>
      <family val="1"/>
    </font>
    <font>
      <b/>
      <sz val="10"/>
      <color indexed="8"/>
      <name val="Arial"/>
      <family val="0"/>
    </font>
    <font>
      <sz val="12"/>
      <color indexed="8"/>
      <name val="Arial"/>
      <family val="0"/>
    </font>
    <font>
      <sz val="12"/>
      <color indexed="47"/>
      <name val="Times New Roman"/>
      <family val="1"/>
    </font>
    <font>
      <vertAlign val="subscript"/>
      <sz val="12"/>
      <name val="Times New Roman"/>
      <family val="1"/>
    </font>
    <font>
      <b/>
      <sz val="16"/>
      <name val="Times New Roman"/>
      <family val="1"/>
    </font>
    <font>
      <b/>
      <sz val="12"/>
      <color indexed="24"/>
      <name val="Times New Roman"/>
      <family val="1"/>
    </font>
    <font>
      <sz val="10"/>
      <name val="Arial"/>
      <family val="2"/>
    </font>
    <font>
      <sz val="10"/>
      <color indexed="55"/>
      <name val="Arial"/>
      <family val="2"/>
    </font>
    <font>
      <sz val="8"/>
      <color indexed="8"/>
      <name val="Times New Roman"/>
      <family val="1"/>
    </font>
    <font>
      <sz val="10"/>
      <color indexed="47"/>
      <name val="Times New Roman"/>
      <family val="1"/>
    </font>
    <font>
      <sz val="11"/>
      <color indexed="8"/>
      <name val="Times New Roman"/>
      <family val="1"/>
    </font>
    <font>
      <sz val="11"/>
      <name val="Times New Roman"/>
      <family val="1"/>
    </font>
    <font>
      <b/>
      <sz val="14"/>
      <name val="Times New Roman"/>
      <family val="1"/>
    </font>
    <font>
      <sz val="8"/>
      <name val="Tahoma"/>
      <family val="0"/>
    </font>
    <font>
      <b/>
      <sz val="8"/>
      <name val="Tahoma"/>
      <family val="0"/>
    </font>
    <font>
      <sz val="12"/>
      <color indexed="46"/>
      <name val="Times New Roman"/>
      <family val="1"/>
    </font>
    <font>
      <u val="single"/>
      <sz val="7.5"/>
      <color indexed="12"/>
      <name val="Arial"/>
      <family val="0"/>
    </font>
    <font>
      <u val="single"/>
      <sz val="7.5"/>
      <color indexed="36"/>
      <name val="Arial"/>
      <family val="0"/>
    </font>
    <font>
      <b/>
      <sz val="8"/>
      <name val="Arial"/>
      <family val="2"/>
    </font>
  </fonts>
  <fills count="13">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65"/>
        <bgColor indexed="64"/>
      </patternFill>
    </fill>
    <fill>
      <patternFill patternType="darkTrellis">
        <fgColor indexed="9"/>
        <bgColor indexed="8"/>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65"/>
        <bgColor indexed="64"/>
      </patternFill>
    </fill>
    <fill>
      <patternFill patternType="solid">
        <fgColor indexed="47"/>
        <bgColor indexed="64"/>
      </patternFill>
    </fill>
    <fill>
      <patternFill patternType="solid">
        <fgColor indexed="9"/>
        <bgColor indexed="64"/>
      </patternFill>
    </fill>
  </fills>
  <borders count="101">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hair"/>
      <right style="thin"/>
      <top style="thin"/>
      <bottom style="thin"/>
    </border>
    <border>
      <left style="hair"/>
      <right>
        <color indexed="63"/>
      </right>
      <top style="thin"/>
      <bottom style="thin"/>
    </border>
    <border>
      <left style="hair"/>
      <right>
        <color indexed="63"/>
      </right>
      <top style="hair"/>
      <bottom>
        <color indexed="63"/>
      </bottom>
    </border>
    <border>
      <left style="hair"/>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hair"/>
      <bottom>
        <color indexed="63"/>
      </bottom>
    </border>
    <border>
      <left style="hair"/>
      <right>
        <color indexed="63"/>
      </right>
      <top style="hair"/>
      <bottom style="hair"/>
    </border>
    <border>
      <left style="hair"/>
      <right>
        <color indexed="63"/>
      </right>
      <top style="hair"/>
      <bottom style="thin"/>
    </border>
    <border>
      <left>
        <color indexed="63"/>
      </left>
      <right>
        <color indexed="63"/>
      </right>
      <top>
        <color indexed="63"/>
      </top>
      <bottom style="hair"/>
    </border>
    <border>
      <left>
        <color indexed="63"/>
      </left>
      <right>
        <color indexed="63"/>
      </right>
      <top style="thin"/>
      <bottom style="thin"/>
    </border>
    <border>
      <left style="thin"/>
      <right style="hair"/>
      <top style="thin"/>
      <bottom style="hair"/>
    </border>
    <border>
      <left style="thin"/>
      <right style="hair"/>
      <top style="hair"/>
      <bottom style="hair"/>
    </border>
    <border>
      <left style="hair"/>
      <right style="hair"/>
      <top style="hair"/>
      <bottom>
        <color indexed="63"/>
      </bottom>
    </border>
    <border>
      <left style="thin"/>
      <right style="hair"/>
      <top style="hair"/>
      <bottom style="thin"/>
    </border>
    <border>
      <left style="hair"/>
      <right style="thin"/>
      <top style="thin"/>
      <bottom>
        <color indexed="63"/>
      </bottom>
    </border>
    <border>
      <left style="hair"/>
      <right>
        <color indexed="63"/>
      </right>
      <top style="thin"/>
      <bottom>
        <color indexed="63"/>
      </bottom>
    </border>
    <border>
      <left>
        <color indexed="63"/>
      </left>
      <right style="thin"/>
      <top style="hair"/>
      <bottom style="hair"/>
    </border>
    <border>
      <left style="hair"/>
      <right style="hair"/>
      <top>
        <color indexed="63"/>
      </top>
      <bottom style="thin"/>
    </border>
    <border>
      <left style="thin"/>
      <right style="hair"/>
      <top style="thin"/>
      <bottom style="thin"/>
    </border>
    <border>
      <left style="thin"/>
      <right style="thin"/>
      <top style="thin"/>
      <bottom style="hair"/>
    </border>
    <border>
      <left style="thin"/>
      <right style="thin"/>
      <top style="hair"/>
      <bottom style="thin"/>
    </border>
    <border>
      <left>
        <color indexed="63"/>
      </left>
      <right style="thin"/>
      <top style="thin"/>
      <bottom style="hair"/>
    </border>
    <border>
      <left>
        <color indexed="63"/>
      </left>
      <right style="thin"/>
      <top style="hair"/>
      <bottom style="thin"/>
    </border>
    <border>
      <left>
        <color indexed="63"/>
      </left>
      <right style="thin"/>
      <top style="thin"/>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hair"/>
      <right style="hair"/>
      <top>
        <color indexed="63"/>
      </top>
      <bottom style="hair"/>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hair"/>
      <right>
        <color indexed="63"/>
      </right>
      <top>
        <color indexed="63"/>
      </top>
      <bottom style="thin"/>
    </border>
    <border>
      <left style="hair"/>
      <right style="thin"/>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style="hair"/>
    </border>
    <border>
      <left style="hair"/>
      <right style="thin"/>
      <top>
        <color indexed="63"/>
      </top>
      <bottom>
        <color indexed="63"/>
      </bottom>
    </border>
    <border>
      <left style="hair"/>
      <right>
        <color indexed="63"/>
      </right>
      <top style="thin"/>
      <bottom style="hair"/>
    </border>
    <border>
      <left style="medium"/>
      <right style="thin"/>
      <top>
        <color indexed="63"/>
      </top>
      <bottom style="thin"/>
    </border>
    <border>
      <left style="thin"/>
      <right style="medium"/>
      <top>
        <color indexed="63"/>
      </top>
      <bottom style="thin"/>
    </border>
    <border>
      <left>
        <color indexed="63"/>
      </left>
      <right style="medium"/>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style="thin"/>
      <bottom style="thin"/>
    </border>
    <border>
      <left style="medium"/>
      <right style="thin"/>
      <top style="thin"/>
      <bottom>
        <color indexed="63"/>
      </bottom>
    </border>
    <border>
      <left style="thin"/>
      <right style="medium"/>
      <top style="thin"/>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4" fillId="0" borderId="0" applyNumberForma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cellStyleXfs>
  <cellXfs count="875">
    <xf numFmtId="0" fontId="0" fillId="0" borderId="0" xfId="0" applyAlignment="1">
      <alignment/>
    </xf>
    <xf numFmtId="0" fontId="4"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6" fillId="0" borderId="2" xfId="0" applyFont="1" applyBorder="1" applyAlignment="1">
      <alignment horizontal="centerContinuous"/>
    </xf>
    <xf numFmtId="0" fontId="7" fillId="0" borderId="0" xfId="0" applyFont="1" applyBorder="1" applyAlignment="1">
      <alignment/>
    </xf>
    <xf numFmtId="0" fontId="7" fillId="0" borderId="0" xfId="0" applyFont="1" applyBorder="1" applyAlignment="1">
      <alignment textRotation="180" wrapText="1"/>
    </xf>
    <xf numFmtId="0" fontId="7" fillId="0" borderId="0" xfId="0" applyFont="1" applyBorder="1" applyAlignment="1">
      <alignment horizontal="left"/>
    </xf>
    <xf numFmtId="0" fontId="7" fillId="0" borderId="0" xfId="0" applyFont="1" applyBorder="1" applyAlignment="1">
      <alignment horizontal="left" textRotation="180"/>
    </xf>
    <xf numFmtId="0" fontId="0" fillId="0" borderId="0" xfId="0" applyBorder="1" applyAlignment="1">
      <alignment horizontal="left"/>
    </xf>
    <xf numFmtId="0" fontId="6" fillId="0" borderId="3" xfId="0" applyFont="1" applyBorder="1" applyAlignment="1">
      <alignment/>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0" xfId="0" applyFont="1" applyBorder="1" applyAlignment="1">
      <alignment/>
    </xf>
    <xf numFmtId="0" fontId="6" fillId="0" borderId="9" xfId="0" applyFont="1" applyBorder="1" applyAlignment="1">
      <alignment/>
    </xf>
    <xf numFmtId="0" fontId="6" fillId="0" borderId="0" xfId="0" applyFont="1" applyAlignment="1">
      <alignment horizontal="center"/>
    </xf>
    <xf numFmtId="0" fontId="12" fillId="0" borderId="0" xfId="0" applyFont="1" applyAlignment="1">
      <alignment/>
    </xf>
    <xf numFmtId="2" fontId="6" fillId="0" borderId="0" xfId="0" applyNumberFormat="1" applyFont="1" applyBorder="1" applyAlignment="1">
      <alignment horizontal="center"/>
    </xf>
    <xf numFmtId="0" fontId="8" fillId="0" borderId="0" xfId="0" applyFont="1" applyBorder="1" applyAlignment="1">
      <alignment/>
    </xf>
    <xf numFmtId="0" fontId="6" fillId="0" borderId="0" xfId="0" applyFont="1" applyBorder="1" applyAlignment="1">
      <alignment horizontal="center"/>
    </xf>
    <xf numFmtId="0" fontId="6" fillId="0" borderId="10" xfId="0" applyFont="1" applyBorder="1" applyAlignment="1">
      <alignment horizontal="center"/>
    </xf>
    <xf numFmtId="0" fontId="8" fillId="0" borderId="0" xfId="0" applyFont="1" applyBorder="1" applyAlignment="1">
      <alignment horizontal="center"/>
    </xf>
    <xf numFmtId="0" fontId="6" fillId="0" borderId="11" xfId="0" applyFont="1" applyBorder="1" applyAlignment="1">
      <alignment/>
    </xf>
    <xf numFmtId="0" fontId="6" fillId="0" borderId="0" xfId="0" applyFont="1" applyBorder="1" applyAlignment="1">
      <alignment horizontal="centerContinuous"/>
    </xf>
    <xf numFmtId="0" fontId="12" fillId="0" borderId="0" xfId="0" applyFont="1" applyBorder="1" applyAlignment="1">
      <alignment/>
    </xf>
    <xf numFmtId="14" fontId="6" fillId="0" borderId="0" xfId="0" applyNumberFormat="1" applyFont="1" applyBorder="1" applyAlignment="1" applyProtection="1">
      <alignment horizontal="left"/>
      <protection locked="0"/>
    </xf>
    <xf numFmtId="0" fontId="14" fillId="0" borderId="0" xfId="0" applyFont="1" applyBorder="1" applyAlignment="1" applyProtection="1">
      <alignment/>
      <protection locked="0"/>
    </xf>
    <xf numFmtId="0" fontId="6" fillId="0" borderId="0" xfId="0" applyFont="1" applyBorder="1" applyAlignment="1" applyProtection="1">
      <alignment/>
      <protection locked="0"/>
    </xf>
    <xf numFmtId="0" fontId="8" fillId="0" borderId="0" xfId="0" applyFont="1" applyBorder="1" applyAlignment="1" applyProtection="1">
      <alignment/>
      <protection locked="0"/>
    </xf>
    <xf numFmtId="0" fontId="8" fillId="0" borderId="0" xfId="0" applyFont="1" applyBorder="1" applyAlignment="1" applyProtection="1">
      <alignment horizontal="right"/>
      <protection locked="0"/>
    </xf>
    <xf numFmtId="0" fontId="8" fillId="0" borderId="0" xfId="0" applyFont="1" applyBorder="1" applyAlignment="1">
      <alignment horizontal="right"/>
    </xf>
    <xf numFmtId="0" fontId="6" fillId="0" borderId="3" xfId="0" applyFont="1" applyBorder="1" applyAlignment="1">
      <alignment horizontal="center"/>
    </xf>
    <xf numFmtId="0" fontId="6" fillId="0" borderId="3" xfId="0" applyFont="1" applyBorder="1" applyAlignment="1">
      <alignment horizontal="centerContinuous"/>
    </xf>
    <xf numFmtId="0" fontId="6" fillId="0" borderId="6" xfId="0" applyFont="1" applyBorder="1" applyAlignment="1">
      <alignment horizontal="centerContinuous"/>
    </xf>
    <xf numFmtId="0" fontId="6" fillId="0" borderId="12" xfId="0" applyFont="1" applyBorder="1" applyAlignment="1">
      <alignment/>
    </xf>
    <xf numFmtId="0" fontId="6" fillId="0" borderId="8" xfId="0" applyFont="1" applyBorder="1" applyAlignment="1">
      <alignment horizontal="centerContinuous"/>
    </xf>
    <xf numFmtId="0" fontId="6" fillId="0" borderId="2" xfId="0" applyFont="1" applyBorder="1" applyAlignment="1">
      <alignment horizontal="center"/>
    </xf>
    <xf numFmtId="0" fontId="6" fillId="0" borderId="12" xfId="0" applyFont="1" applyBorder="1" applyAlignment="1">
      <alignment horizontal="center"/>
    </xf>
    <xf numFmtId="0" fontId="6" fillId="0" borderId="8" xfId="0" applyFont="1" applyBorder="1" applyAlignment="1">
      <alignment horizontal="center"/>
    </xf>
    <xf numFmtId="0" fontId="6" fillId="0" borderId="13" xfId="0" applyFont="1" applyBorder="1" applyAlignment="1">
      <alignment horizontal="center"/>
    </xf>
    <xf numFmtId="0" fontId="6" fillId="0" borderId="9" xfId="0" applyFont="1" applyBorder="1" applyAlignment="1">
      <alignment horizontal="centerContinuous"/>
    </xf>
    <xf numFmtId="0" fontId="6" fillId="0" borderId="6" xfId="0" applyFont="1" applyBorder="1" applyAlignment="1">
      <alignment/>
    </xf>
    <xf numFmtId="0" fontId="6" fillId="0" borderId="5"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4"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37" fontId="6" fillId="0" borderId="18" xfId="0" applyNumberFormat="1" applyFont="1" applyBorder="1" applyAlignment="1">
      <alignment/>
    </xf>
    <xf numFmtId="37" fontId="6" fillId="0" borderId="19" xfId="0" applyNumberFormat="1" applyFont="1" applyBorder="1" applyAlignment="1">
      <alignment/>
    </xf>
    <xf numFmtId="0" fontId="6" fillId="0" borderId="20" xfId="0" applyFont="1" applyBorder="1" applyAlignment="1" applyProtection="1">
      <alignment/>
      <protection locked="0"/>
    </xf>
    <xf numFmtId="0" fontId="6" fillId="0" borderId="11" xfId="0" applyFont="1" applyBorder="1" applyAlignment="1">
      <alignment horizontal="center"/>
    </xf>
    <xf numFmtId="3" fontId="6" fillId="0" borderId="11" xfId="0" applyNumberFormat="1" applyFont="1" applyBorder="1" applyAlignment="1">
      <alignment horizontal="center"/>
    </xf>
    <xf numFmtId="0" fontId="6" fillId="0" borderId="21" xfId="0" applyFont="1" applyBorder="1" applyAlignment="1">
      <alignment/>
    </xf>
    <xf numFmtId="0" fontId="6" fillId="0" borderId="22" xfId="0" applyFont="1" applyBorder="1" applyAlignment="1" applyProtection="1">
      <alignment horizontal="left"/>
      <protection/>
    </xf>
    <xf numFmtId="0" fontId="6" fillId="0" borderId="15" xfId="0" applyFont="1" applyBorder="1" applyAlignment="1">
      <alignment/>
    </xf>
    <xf numFmtId="0" fontId="6" fillId="2" borderId="0" xfId="0" applyFont="1" applyFill="1" applyBorder="1" applyAlignment="1">
      <alignment horizontal="centerContinuous"/>
    </xf>
    <xf numFmtId="1" fontId="6" fillId="2" borderId="0" xfId="0" applyNumberFormat="1" applyFont="1" applyFill="1" applyBorder="1" applyAlignment="1">
      <alignment horizontal="center"/>
    </xf>
    <xf numFmtId="1" fontId="6" fillId="2" borderId="0" xfId="0" applyNumberFormat="1" applyFont="1" applyFill="1" applyBorder="1" applyAlignment="1">
      <alignment/>
    </xf>
    <xf numFmtId="0" fontId="6" fillId="0" borderId="9" xfId="0" applyFont="1" applyBorder="1" applyAlignment="1">
      <alignment horizontal="center"/>
    </xf>
    <xf numFmtId="0" fontId="7" fillId="0" borderId="0" xfId="0" applyFont="1" applyBorder="1" applyAlignment="1">
      <alignment horizontal="centerContinuous"/>
    </xf>
    <xf numFmtId="0" fontId="6" fillId="0" borderId="15" xfId="0" applyFont="1" applyBorder="1" applyAlignment="1">
      <alignment horizontal="centerContinuous"/>
    </xf>
    <xf numFmtId="0" fontId="6" fillId="0" borderId="5" xfId="0" applyFont="1" applyBorder="1" applyAlignment="1">
      <alignment horizontal="centerContinuous"/>
    </xf>
    <xf numFmtId="0" fontId="12" fillId="0" borderId="0" xfId="0" applyFont="1" applyAlignment="1" applyProtection="1">
      <alignment/>
      <protection/>
    </xf>
    <xf numFmtId="0" fontId="7" fillId="0" borderId="0" xfId="0" applyFont="1" applyBorder="1" applyAlignment="1" applyProtection="1">
      <alignment/>
      <protection/>
    </xf>
    <xf numFmtId="0" fontId="6" fillId="0" borderId="4" xfId="0" applyFont="1" applyBorder="1" applyAlignment="1" applyProtection="1">
      <alignment horizontal="center"/>
      <protection/>
    </xf>
    <xf numFmtId="0" fontId="6" fillId="0" borderId="11" xfId="0" applyFont="1" applyBorder="1" applyAlignment="1" applyProtection="1">
      <alignment horizontal="center"/>
      <protection/>
    </xf>
    <xf numFmtId="0" fontId="6" fillId="0" borderId="23" xfId="0" applyFont="1" applyBorder="1" applyAlignment="1" applyProtection="1">
      <alignment/>
      <protection/>
    </xf>
    <xf numFmtId="0" fontId="6" fillId="0" borderId="24" xfId="0" applyFont="1" applyBorder="1" applyAlignment="1" applyProtection="1">
      <alignment/>
      <protection/>
    </xf>
    <xf numFmtId="0" fontId="6" fillId="0" borderId="25" xfId="0" applyFont="1" applyBorder="1" applyAlignment="1" applyProtection="1">
      <alignment/>
      <protection/>
    </xf>
    <xf numFmtId="37" fontId="6" fillId="0" borderId="26" xfId="0" applyNumberFormat="1" applyFont="1" applyBorder="1" applyAlignment="1" applyProtection="1">
      <alignment/>
      <protection/>
    </xf>
    <xf numFmtId="37" fontId="6" fillId="0" borderId="27" xfId="0" applyNumberFormat="1" applyFont="1" applyBorder="1" applyAlignment="1" applyProtection="1">
      <alignment/>
      <protection/>
    </xf>
    <xf numFmtId="0" fontId="6" fillId="0" borderId="28" xfId="0" applyFont="1" applyBorder="1" applyAlignment="1" applyProtection="1">
      <alignment/>
      <protection/>
    </xf>
    <xf numFmtId="0" fontId="6" fillId="0" borderId="29" xfId="0" applyFont="1" applyBorder="1" applyAlignment="1" applyProtection="1">
      <alignment/>
      <protection/>
    </xf>
    <xf numFmtId="0" fontId="6" fillId="0" borderId="30" xfId="0" applyFont="1" applyBorder="1" applyAlignment="1" applyProtection="1">
      <alignment/>
      <protection/>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0" fontId="6" fillId="0" borderId="29" xfId="0" applyFont="1" applyBorder="1" applyAlignment="1" applyProtection="1">
      <alignment horizontal="right"/>
      <protection/>
    </xf>
    <xf numFmtId="37" fontId="6" fillId="0" borderId="32" xfId="20" applyNumberFormat="1" applyFont="1" applyBorder="1" applyAlignment="1" applyProtection="1">
      <alignment/>
      <protection/>
    </xf>
    <xf numFmtId="0" fontId="6" fillId="0" borderId="0" xfId="0" applyFont="1" applyBorder="1" applyAlignment="1" applyProtection="1">
      <alignment horizontal="centerContinuous"/>
      <protection/>
    </xf>
    <xf numFmtId="1" fontId="6" fillId="0" borderId="0" xfId="0" applyNumberFormat="1" applyFont="1" applyBorder="1" applyAlignment="1" applyProtection="1">
      <alignment horizontal="centerContinuous"/>
      <protection/>
    </xf>
    <xf numFmtId="0" fontId="6" fillId="0" borderId="0" xfId="0" applyFont="1" applyBorder="1" applyAlignment="1" applyProtection="1">
      <alignment/>
      <protection/>
    </xf>
    <xf numFmtId="37" fontId="6" fillId="0" borderId="18" xfId="0" applyNumberFormat="1" applyFont="1" applyBorder="1" applyAlignment="1" applyProtection="1">
      <alignment/>
      <protection/>
    </xf>
    <xf numFmtId="37" fontId="6" fillId="0" borderId="19" xfId="0" applyNumberFormat="1" applyFont="1" applyBorder="1" applyAlignment="1" applyProtection="1">
      <alignment/>
      <protection/>
    </xf>
    <xf numFmtId="0" fontId="6" fillId="0" borderId="22" xfId="0" applyFont="1" applyBorder="1" applyAlignment="1" applyProtection="1">
      <alignment/>
      <protection/>
    </xf>
    <xf numFmtId="0" fontId="6" fillId="0" borderId="33" xfId="0" applyFont="1" applyBorder="1" applyAlignment="1" applyProtection="1">
      <alignment/>
      <protection/>
    </xf>
    <xf numFmtId="0" fontId="6" fillId="0" borderId="34" xfId="0" applyFont="1" applyBorder="1" applyAlignment="1" applyProtection="1">
      <alignment/>
      <protection/>
    </xf>
    <xf numFmtId="9" fontId="6" fillId="0" borderId="35" xfId="0" applyNumberFormat="1" applyFont="1" applyBorder="1" applyAlignment="1" applyProtection="1">
      <alignment/>
      <protection/>
    </xf>
    <xf numFmtId="9" fontId="6" fillId="0" borderId="36" xfId="0" applyNumberFormat="1" applyFont="1" applyBorder="1" applyAlignment="1" applyProtection="1">
      <alignment/>
      <protection/>
    </xf>
    <xf numFmtId="0" fontId="6" fillId="3" borderId="37" xfId="0" applyFont="1" applyFill="1" applyBorder="1" applyAlignment="1" applyProtection="1">
      <alignment/>
      <protection locked="0"/>
    </xf>
    <xf numFmtId="37" fontId="6" fillId="3" borderId="38" xfId="0" applyNumberFormat="1" applyFont="1" applyFill="1" applyBorder="1" applyAlignment="1" applyProtection="1">
      <alignment/>
      <protection locked="0"/>
    </xf>
    <xf numFmtId="37" fontId="6" fillId="3" borderId="39" xfId="0" applyNumberFormat="1" applyFont="1" applyFill="1" applyBorder="1" applyAlignment="1" applyProtection="1">
      <alignment/>
      <protection locked="0"/>
    </xf>
    <xf numFmtId="9" fontId="6" fillId="4" borderId="31" xfId="25" applyNumberFormat="1" applyFont="1" applyFill="1" applyBorder="1" applyAlignment="1" applyProtection="1">
      <alignment horizontal="center"/>
      <protection locked="0"/>
    </xf>
    <xf numFmtId="9" fontId="6" fillId="4" borderId="31" xfId="0" applyNumberFormat="1" applyFont="1" applyFill="1" applyBorder="1" applyAlignment="1" applyProtection="1">
      <alignment horizontal="center"/>
      <protection locked="0"/>
    </xf>
    <xf numFmtId="9" fontId="6" fillId="4" borderId="32" xfId="0" applyNumberFormat="1" applyFont="1" applyFill="1" applyBorder="1" applyAlignment="1" applyProtection="1">
      <alignment horizontal="center"/>
      <protection locked="0"/>
    </xf>
    <xf numFmtId="9" fontId="6" fillId="4" borderId="35" xfId="0" applyNumberFormat="1" applyFont="1" applyFill="1" applyBorder="1" applyAlignment="1" applyProtection="1">
      <alignment horizontal="center"/>
      <protection locked="0"/>
    </xf>
    <xf numFmtId="9" fontId="6" fillId="4" borderId="36" xfId="0" applyNumberFormat="1" applyFont="1" applyFill="1" applyBorder="1" applyAlignment="1" applyProtection="1">
      <alignment horizontal="center"/>
      <protection locked="0"/>
    </xf>
    <xf numFmtId="49" fontId="6" fillId="3" borderId="31" xfId="0" applyNumberFormat="1" applyFont="1" applyFill="1" applyBorder="1" applyAlignment="1" applyProtection="1">
      <alignment horizontal="center"/>
      <protection locked="0"/>
    </xf>
    <xf numFmtId="169" fontId="6" fillId="3" borderId="31" xfId="0" applyNumberFormat="1" applyFont="1" applyFill="1" applyBorder="1" applyAlignment="1" applyProtection="1">
      <alignment horizontal="center"/>
      <protection locked="0"/>
    </xf>
    <xf numFmtId="0" fontId="9" fillId="3" borderId="40" xfId="0" applyFont="1" applyFill="1" applyBorder="1" applyAlignment="1" applyProtection="1">
      <alignment horizontal="center"/>
      <protection locked="0"/>
    </xf>
    <xf numFmtId="49" fontId="6" fillId="3" borderId="35" xfId="0" applyNumberFormat="1" applyFont="1" applyFill="1" applyBorder="1" applyAlignment="1" applyProtection="1">
      <alignment horizontal="center"/>
      <protection locked="0"/>
    </xf>
    <xf numFmtId="169" fontId="6" fillId="3" borderId="35" xfId="0" applyNumberFormat="1"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6" fillId="0" borderId="0" xfId="0" applyFont="1" applyBorder="1" applyAlignment="1" applyProtection="1">
      <alignment horizontal="center"/>
      <protection/>
    </xf>
    <xf numFmtId="0" fontId="12" fillId="0" borderId="0" xfId="0" applyFont="1" applyBorder="1" applyAlignment="1" applyProtection="1">
      <alignment/>
      <protection/>
    </xf>
    <xf numFmtId="0" fontId="6" fillId="2" borderId="0" xfId="0" applyFont="1" applyFill="1" applyBorder="1" applyAlignment="1" applyProtection="1">
      <alignment/>
      <protection/>
    </xf>
    <xf numFmtId="0" fontId="10" fillId="0" borderId="0" xfId="0" applyFont="1" applyAlignment="1" applyProtection="1">
      <alignment/>
      <protection/>
    </xf>
    <xf numFmtId="0" fontId="6" fillId="0" borderId="0" xfId="0" applyFont="1" applyBorder="1" applyAlignment="1" applyProtection="1">
      <alignment horizontal="left"/>
      <protection/>
    </xf>
    <xf numFmtId="0" fontId="12" fillId="0" borderId="0" xfId="0" applyFont="1" applyAlignment="1">
      <alignment horizontal="centerContinuous"/>
    </xf>
    <xf numFmtId="0" fontId="6" fillId="0" borderId="4" xfId="0" applyFont="1" applyBorder="1" applyAlignment="1">
      <alignment/>
    </xf>
    <xf numFmtId="0" fontId="6" fillId="0" borderId="41" xfId="0" applyFont="1" applyBorder="1" applyAlignment="1">
      <alignment/>
    </xf>
    <xf numFmtId="0" fontId="16" fillId="0" borderId="0" xfId="0" applyFont="1" applyBorder="1" applyAlignment="1">
      <alignment horizontal="centerContinuous"/>
    </xf>
    <xf numFmtId="0" fontId="6" fillId="0" borderId="0" xfId="0" applyFont="1" applyBorder="1" applyAlignment="1" applyProtection="1">
      <alignment horizontal="left"/>
      <protection locked="0"/>
    </xf>
    <xf numFmtId="0" fontId="6" fillId="0" borderId="42" xfId="0" applyNumberFormat="1" applyFont="1" applyBorder="1" applyAlignment="1">
      <alignment horizontal="center"/>
    </xf>
    <xf numFmtId="2" fontId="6" fillId="0" borderId="26" xfId="0" applyNumberFormat="1" applyFont="1" applyBorder="1" applyAlignment="1">
      <alignment horizontal="center"/>
    </xf>
    <xf numFmtId="2" fontId="6" fillId="0" borderId="27" xfId="0" applyNumberFormat="1" applyFont="1" applyBorder="1" applyAlignment="1">
      <alignment horizontal="center"/>
    </xf>
    <xf numFmtId="0" fontId="6" fillId="0" borderId="43" xfId="0" applyNumberFormat="1" applyFont="1" applyBorder="1" applyAlignment="1">
      <alignment horizontal="center"/>
    </xf>
    <xf numFmtId="2" fontId="6" fillId="0" borderId="31" xfId="0" applyNumberFormat="1" applyFont="1" applyBorder="1" applyAlignment="1">
      <alignment horizontal="center"/>
    </xf>
    <xf numFmtId="2" fontId="6" fillId="0" borderId="32" xfId="0" applyNumberFormat="1" applyFont="1" applyBorder="1" applyAlignment="1">
      <alignment horizontal="center"/>
    </xf>
    <xf numFmtId="2" fontId="6" fillId="0" borderId="44" xfId="0" applyNumberFormat="1" applyFont="1" applyBorder="1" applyAlignment="1">
      <alignment horizontal="center"/>
    </xf>
    <xf numFmtId="2" fontId="6" fillId="0" borderId="19" xfId="0" applyNumberFormat="1" applyFont="1" applyBorder="1" applyAlignment="1">
      <alignment horizontal="center"/>
    </xf>
    <xf numFmtId="0" fontId="6" fillId="0" borderId="45" xfId="0" applyNumberFormat="1" applyFont="1" applyBorder="1" applyAlignment="1">
      <alignment horizontal="center"/>
    </xf>
    <xf numFmtId="2" fontId="6" fillId="0" borderId="35" xfId="0" applyNumberFormat="1" applyFont="1" applyBorder="1" applyAlignment="1">
      <alignment horizontal="center"/>
    </xf>
    <xf numFmtId="2" fontId="6" fillId="0" borderId="36" xfId="0" applyNumberFormat="1" applyFont="1" applyBorder="1" applyAlignment="1">
      <alignment horizontal="center"/>
    </xf>
    <xf numFmtId="0" fontId="17" fillId="0" borderId="0" xfId="0" applyFont="1" applyBorder="1" applyAlignment="1">
      <alignment/>
    </xf>
    <xf numFmtId="0" fontId="6" fillId="0" borderId="3" xfId="0" applyFont="1" applyBorder="1" applyAlignment="1">
      <alignment/>
    </xf>
    <xf numFmtId="0" fontId="6" fillId="0" borderId="8" xfId="0" applyFont="1" applyFill="1" applyBorder="1" applyAlignment="1">
      <alignment horizontal="center"/>
    </xf>
    <xf numFmtId="0" fontId="6" fillId="0" borderId="0" xfId="0" applyFont="1" applyBorder="1" applyAlignment="1" applyProtection="1">
      <alignment textRotation="180" wrapText="1"/>
      <protection locked="0"/>
    </xf>
    <xf numFmtId="0" fontId="12" fillId="0" borderId="2" xfId="0" applyFont="1" applyBorder="1" applyAlignment="1">
      <alignment/>
    </xf>
    <xf numFmtId="0" fontId="6" fillId="3" borderId="42" xfId="0" applyNumberFormat="1" applyFont="1" applyFill="1" applyBorder="1" applyAlignment="1" applyProtection="1">
      <alignment horizontal="center"/>
      <protection locked="0"/>
    </xf>
    <xf numFmtId="0" fontId="6" fillId="3" borderId="26" xfId="0" applyFont="1" applyFill="1" applyBorder="1" applyAlignment="1" applyProtection="1">
      <alignment horizontal="center"/>
      <protection locked="0"/>
    </xf>
    <xf numFmtId="2" fontId="6" fillId="0" borderId="26" xfId="0" applyNumberFormat="1" applyFont="1" applyFill="1" applyBorder="1" applyAlignment="1">
      <alignment horizontal="center"/>
    </xf>
    <xf numFmtId="0" fontId="6" fillId="0" borderId="0" xfId="0" applyFont="1" applyBorder="1" applyAlignment="1" applyProtection="1" quotePrefix="1">
      <alignment/>
      <protection locked="0"/>
    </xf>
    <xf numFmtId="0" fontId="6" fillId="3" borderId="43" xfId="0" applyNumberFormat="1" applyFont="1" applyFill="1" applyBorder="1" applyAlignment="1" applyProtection="1">
      <alignment horizontal="center"/>
      <protection locked="0"/>
    </xf>
    <xf numFmtId="0" fontId="6" fillId="3" borderId="31" xfId="0" applyFont="1" applyFill="1" applyBorder="1" applyAlignment="1" applyProtection="1">
      <alignment horizontal="center"/>
      <protection locked="0"/>
    </xf>
    <xf numFmtId="2" fontId="6" fillId="0" borderId="31" xfId="0" applyNumberFormat="1" applyFont="1" applyFill="1" applyBorder="1" applyAlignment="1">
      <alignment horizontal="center"/>
    </xf>
    <xf numFmtId="3" fontId="6" fillId="0" borderId="0" xfId="0" applyNumberFormat="1" applyFont="1" applyFill="1" applyBorder="1" applyAlignment="1" applyProtection="1" quotePrefix="1">
      <alignment textRotation="180" wrapText="1"/>
      <protection locked="0"/>
    </xf>
    <xf numFmtId="0" fontId="6" fillId="3" borderId="45" xfId="0" applyNumberFormat="1" applyFont="1" applyFill="1" applyBorder="1" applyAlignment="1" applyProtection="1">
      <alignment horizontal="center"/>
      <protection locked="0"/>
    </xf>
    <xf numFmtId="0" fontId="6" fillId="3" borderId="35" xfId="0" applyFont="1" applyFill="1" applyBorder="1" applyAlignment="1" applyProtection="1">
      <alignment horizontal="center"/>
      <protection locked="0"/>
    </xf>
    <xf numFmtId="2" fontId="6" fillId="0" borderId="35" xfId="0" applyNumberFormat="1" applyFont="1" applyFill="1" applyBorder="1" applyAlignment="1">
      <alignment horizontal="center"/>
    </xf>
    <xf numFmtId="170" fontId="6" fillId="5" borderId="36" xfId="20" applyNumberFormat="1" applyFont="1" applyFill="1" applyBorder="1" applyAlignment="1" applyProtection="1">
      <alignment/>
      <protection/>
    </xf>
    <xf numFmtId="0" fontId="6" fillId="0" borderId="26" xfId="0" applyFont="1" applyFill="1" applyBorder="1" applyAlignment="1" applyProtection="1">
      <alignment horizontal="center"/>
      <protection/>
    </xf>
    <xf numFmtId="170" fontId="6" fillId="0" borderId="31" xfId="0" applyNumberFormat="1" applyFont="1" applyFill="1" applyBorder="1" applyAlignment="1" applyProtection="1">
      <alignment horizontal="right"/>
      <protection/>
    </xf>
    <xf numFmtId="37" fontId="6" fillId="0" borderId="26" xfId="0" applyNumberFormat="1" applyFont="1" applyFill="1" applyBorder="1" applyAlignment="1" applyProtection="1">
      <alignment horizontal="right"/>
      <protection/>
    </xf>
    <xf numFmtId="37" fontId="6" fillId="0" borderId="27" xfId="0" applyNumberFormat="1" applyFont="1" applyFill="1" applyBorder="1" applyAlignment="1" applyProtection="1">
      <alignment horizontal="right"/>
      <protection/>
    </xf>
    <xf numFmtId="0" fontId="6" fillId="0" borderId="31" xfId="0" applyFont="1" applyFill="1" applyBorder="1" applyAlignment="1" applyProtection="1">
      <alignment horizontal="center"/>
      <protection/>
    </xf>
    <xf numFmtId="37" fontId="6" fillId="0" borderId="31" xfId="0" applyNumberFormat="1" applyFont="1" applyFill="1" applyBorder="1" applyAlignment="1" applyProtection="1">
      <alignment horizontal="right"/>
      <protection/>
    </xf>
    <xf numFmtId="37" fontId="6" fillId="0" borderId="32" xfId="0" applyNumberFormat="1" applyFont="1" applyFill="1" applyBorder="1" applyAlignment="1" applyProtection="1">
      <alignment horizontal="right"/>
      <protection/>
    </xf>
    <xf numFmtId="0" fontId="6" fillId="0" borderId="35" xfId="0" applyFont="1" applyFill="1" applyBorder="1" applyAlignment="1" applyProtection="1">
      <alignment horizontal="center"/>
      <protection/>
    </xf>
    <xf numFmtId="170" fontId="6" fillId="0" borderId="35" xfId="0" applyNumberFormat="1" applyFont="1" applyFill="1" applyBorder="1" applyAlignment="1" applyProtection="1">
      <alignment horizontal="right"/>
      <protection/>
    </xf>
    <xf numFmtId="37" fontId="6" fillId="0" borderId="35" xfId="0" applyNumberFormat="1" applyFont="1" applyFill="1" applyBorder="1" applyAlignment="1" applyProtection="1">
      <alignment horizontal="right"/>
      <protection/>
    </xf>
    <xf numFmtId="37" fontId="6" fillId="0" borderId="36" xfId="0" applyNumberFormat="1" applyFont="1" applyFill="1" applyBorder="1" applyAlignment="1" applyProtection="1">
      <alignment horizontal="right"/>
      <protection/>
    </xf>
    <xf numFmtId="0" fontId="7" fillId="0" borderId="0" xfId="0" applyFont="1" applyBorder="1" applyAlignment="1" applyProtection="1">
      <alignment horizontal="left"/>
      <protection/>
    </xf>
    <xf numFmtId="0" fontId="6" fillId="0" borderId="3" xfId="0" applyFont="1" applyBorder="1" applyAlignment="1" applyProtection="1">
      <alignment horizontal="centerContinuous"/>
      <protection/>
    </xf>
    <xf numFmtId="0" fontId="6" fillId="0" borderId="6" xfId="0" applyFont="1" applyFill="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8" xfId="0" applyFont="1" applyBorder="1" applyAlignment="1" applyProtection="1">
      <alignment horizontal="centerContinuous"/>
      <protection/>
    </xf>
    <xf numFmtId="0" fontId="12" fillId="0" borderId="2" xfId="0" applyFont="1" applyBorder="1" applyAlignment="1" applyProtection="1">
      <alignment/>
      <protection/>
    </xf>
    <xf numFmtId="0" fontId="6" fillId="0" borderId="5" xfId="0" applyFont="1" applyBorder="1" applyAlignment="1" applyProtection="1">
      <alignment horizontal="centerContinuous"/>
      <protection/>
    </xf>
    <xf numFmtId="0" fontId="6" fillId="0" borderId="10" xfId="0" applyFont="1" applyBorder="1" applyAlignment="1" applyProtection="1">
      <alignment horizontal="centerContinuous"/>
      <protection/>
    </xf>
    <xf numFmtId="0" fontId="6" fillId="0" borderId="15" xfId="0" applyFont="1" applyBorder="1" applyAlignment="1" applyProtection="1">
      <alignment horizontal="centerContinuous"/>
      <protection/>
    </xf>
    <xf numFmtId="0" fontId="6" fillId="0" borderId="9" xfId="0" applyFont="1" applyBorder="1" applyAlignment="1" applyProtection="1">
      <alignment horizontal="centerContinuous"/>
      <protection/>
    </xf>
    <xf numFmtId="0" fontId="6" fillId="0" borderId="17" xfId="0" applyFont="1" applyBorder="1" applyAlignment="1" applyProtection="1">
      <alignment horizontal="center"/>
      <protection/>
    </xf>
    <xf numFmtId="0" fontId="6" fillId="0" borderId="16" xfId="0" applyFont="1" applyBorder="1" applyAlignment="1" applyProtection="1">
      <alignment horizontal="center"/>
      <protection/>
    </xf>
    <xf numFmtId="0" fontId="6" fillId="5" borderId="3" xfId="0" applyFont="1" applyFill="1" applyBorder="1" applyAlignment="1" applyProtection="1">
      <alignment horizontal="left"/>
      <protection/>
    </xf>
    <xf numFmtId="170" fontId="6" fillId="5" borderId="46" xfId="0" applyNumberFormat="1" applyFont="1" applyFill="1" applyBorder="1" applyAlignment="1" applyProtection="1">
      <alignment/>
      <protection/>
    </xf>
    <xf numFmtId="37" fontId="6" fillId="0" borderId="47" xfId="0" applyNumberFormat="1" applyFont="1" applyBorder="1" applyAlignment="1" applyProtection="1">
      <alignment/>
      <protection/>
    </xf>
    <xf numFmtId="37" fontId="6" fillId="0" borderId="46" xfId="0" applyNumberFormat="1" applyFont="1" applyBorder="1" applyAlignment="1" applyProtection="1">
      <alignment/>
      <protection/>
    </xf>
    <xf numFmtId="9" fontId="6" fillId="0" borderId="47" xfId="0" applyNumberFormat="1" applyFont="1" applyBorder="1" applyAlignment="1" applyProtection="1">
      <alignment/>
      <protection/>
    </xf>
    <xf numFmtId="9" fontId="6" fillId="0" borderId="46" xfId="0" applyNumberFormat="1" applyFont="1" applyBorder="1" applyAlignment="1" applyProtection="1">
      <alignment/>
      <protection/>
    </xf>
    <xf numFmtId="0" fontId="6" fillId="5" borderId="37" xfId="0" applyFont="1" applyFill="1" applyBorder="1" applyAlignment="1" applyProtection="1">
      <alignment horizontal="left"/>
      <protection/>
    </xf>
    <xf numFmtId="170" fontId="6" fillId="5" borderId="19" xfId="0" applyNumberFormat="1" applyFont="1" applyFill="1" applyBorder="1" applyAlignment="1" applyProtection="1">
      <alignment/>
      <protection/>
    </xf>
    <xf numFmtId="37" fontId="6" fillId="0" borderId="18" xfId="0" applyNumberFormat="1" applyFont="1" applyBorder="1" applyAlignment="1" applyProtection="1">
      <alignment/>
      <protection/>
    </xf>
    <xf numFmtId="37" fontId="6" fillId="0" borderId="19" xfId="0" applyNumberFormat="1" applyFont="1" applyBorder="1" applyAlignment="1" applyProtection="1">
      <alignment/>
      <protection/>
    </xf>
    <xf numFmtId="9" fontId="6" fillId="0" borderId="18" xfId="0" applyNumberFormat="1" applyFont="1" applyBorder="1" applyAlignment="1" applyProtection="1">
      <alignment/>
      <protection/>
    </xf>
    <xf numFmtId="9" fontId="6" fillId="0" borderId="19" xfId="0" applyNumberFormat="1" applyFont="1" applyBorder="1" applyAlignment="1" applyProtection="1">
      <alignment/>
      <protection/>
    </xf>
    <xf numFmtId="0" fontId="6" fillId="5" borderId="22" xfId="0" applyFont="1" applyFill="1" applyBorder="1" applyAlignment="1" applyProtection="1">
      <alignment horizontal="left"/>
      <protection/>
    </xf>
    <xf numFmtId="37" fontId="6" fillId="0" borderId="39" xfId="0" applyNumberFormat="1" applyFont="1" applyBorder="1" applyAlignment="1" applyProtection="1">
      <alignment/>
      <protection/>
    </xf>
    <xf numFmtId="37" fontId="6" fillId="0" borderId="36" xfId="0" applyNumberFormat="1" applyFont="1" applyBorder="1" applyAlignment="1" applyProtection="1">
      <alignment/>
      <protection/>
    </xf>
    <xf numFmtId="9" fontId="6" fillId="0" borderId="39" xfId="0" applyNumberFormat="1" applyFont="1" applyBorder="1" applyAlignment="1" applyProtection="1">
      <alignment/>
      <protection/>
    </xf>
    <xf numFmtId="9" fontId="6" fillId="0" borderId="0" xfId="0" applyNumberFormat="1" applyFont="1" applyBorder="1" applyAlignment="1" applyProtection="1">
      <alignment/>
      <protection/>
    </xf>
    <xf numFmtId="1" fontId="6" fillId="0" borderId="0" xfId="0" applyNumberFormat="1" applyFont="1" applyBorder="1" applyAlignment="1" applyProtection="1">
      <alignment/>
      <protection/>
    </xf>
    <xf numFmtId="1" fontId="6" fillId="0" borderId="0" xfId="0" applyNumberFormat="1" applyFont="1" applyBorder="1" applyAlignment="1">
      <alignment/>
    </xf>
    <xf numFmtId="0" fontId="6" fillId="3" borderId="8" xfId="0" applyFont="1" applyFill="1" applyBorder="1" applyAlignment="1" applyProtection="1">
      <alignment horizontal="center"/>
      <protection locked="0"/>
    </xf>
    <xf numFmtId="0" fontId="6" fillId="3" borderId="11" xfId="0" applyFont="1" applyFill="1" applyBorder="1" applyAlignment="1" applyProtection="1">
      <alignment/>
      <protection locked="0"/>
    </xf>
    <xf numFmtId="0" fontId="10" fillId="0" borderId="11" xfId="0" applyFont="1" applyBorder="1" applyAlignment="1">
      <alignment/>
    </xf>
    <xf numFmtId="0" fontId="6" fillId="0" borderId="11" xfId="0" applyFont="1" applyBorder="1" applyAlignment="1" applyProtection="1">
      <alignment/>
      <protection/>
    </xf>
    <xf numFmtId="0" fontId="9" fillId="0" borderId="11" xfId="0" applyFont="1" applyBorder="1" applyAlignment="1">
      <alignment/>
    </xf>
    <xf numFmtId="1" fontId="9" fillId="0" borderId="11" xfId="0" applyNumberFormat="1" applyFont="1" applyBorder="1" applyAlignment="1">
      <alignment/>
    </xf>
    <xf numFmtId="169" fontId="6" fillId="3" borderId="11" xfId="0" applyNumberFormat="1" applyFont="1" applyFill="1" applyBorder="1" applyAlignment="1" applyProtection="1">
      <alignment/>
      <protection locked="0"/>
    </xf>
    <xf numFmtId="1" fontId="6" fillId="2" borderId="29" xfId="0" applyNumberFormat="1" applyFont="1" applyFill="1" applyBorder="1" applyAlignment="1" applyProtection="1">
      <alignment horizontal="center"/>
      <protection/>
    </xf>
    <xf numFmtId="1" fontId="6" fillId="2" borderId="48" xfId="0" applyNumberFormat="1" applyFont="1" applyFill="1" applyBorder="1" applyAlignment="1" applyProtection="1">
      <alignment horizontal="center"/>
      <protection/>
    </xf>
    <xf numFmtId="0" fontId="8" fillId="2" borderId="0" xfId="0" applyFont="1" applyFill="1" applyBorder="1" applyAlignment="1" applyProtection="1">
      <alignment/>
      <protection/>
    </xf>
    <xf numFmtId="0" fontId="6" fillId="2" borderId="14" xfId="0" applyFont="1" applyFill="1" applyBorder="1" applyAlignment="1" applyProtection="1">
      <alignment/>
      <protection/>
    </xf>
    <xf numFmtId="169" fontId="6" fillId="0" borderId="11" xfId="0" applyNumberFormat="1" applyFont="1" applyBorder="1" applyAlignment="1">
      <alignment/>
    </xf>
    <xf numFmtId="0" fontId="9" fillId="0" borderId="0" xfId="0" applyFont="1" applyAlignment="1">
      <alignment/>
    </xf>
    <xf numFmtId="0" fontId="6" fillId="0" borderId="3" xfId="0" applyFont="1" applyBorder="1" applyAlignment="1" applyProtection="1">
      <alignment horizontal="center"/>
      <protection/>
    </xf>
    <xf numFmtId="0" fontId="6" fillId="0" borderId="8" xfId="0" applyFont="1" applyBorder="1" applyAlignment="1" applyProtection="1">
      <alignment/>
      <protection/>
    </xf>
    <xf numFmtId="0" fontId="6" fillId="0" borderId="2" xfId="0" applyFont="1" applyBorder="1" applyAlignment="1" applyProtection="1">
      <alignment horizontal="center"/>
      <protection/>
    </xf>
    <xf numFmtId="37" fontId="6" fillId="2" borderId="26" xfId="0" applyNumberFormat="1" applyFont="1" applyFill="1" applyBorder="1" applyAlignment="1" applyProtection="1">
      <alignment/>
      <protection/>
    </xf>
    <xf numFmtId="37" fontId="6" fillId="2" borderId="31" xfId="0" applyNumberFormat="1" applyFont="1" applyFill="1" applyBorder="1" applyAlignment="1" applyProtection="1">
      <alignment/>
      <protection/>
    </xf>
    <xf numFmtId="37" fontId="6" fillId="2" borderId="49" xfId="0" applyNumberFormat="1" applyFont="1" applyFill="1" applyBorder="1" applyAlignment="1" applyProtection="1">
      <alignment/>
      <protection/>
    </xf>
    <xf numFmtId="37" fontId="6" fillId="0" borderId="35" xfId="0" applyNumberFormat="1" applyFont="1" applyBorder="1" applyAlignment="1" applyProtection="1">
      <alignment/>
      <protection/>
    </xf>
    <xf numFmtId="1" fontId="6" fillId="0" borderId="24" xfId="0" applyNumberFormat="1" applyFont="1" applyBorder="1" applyAlignment="1" applyProtection="1">
      <alignment/>
      <protection/>
    </xf>
    <xf numFmtId="1" fontId="6" fillId="0" borderId="29" xfId="0" applyNumberFormat="1" applyFont="1" applyBorder="1" applyAlignment="1" applyProtection="1">
      <alignment/>
      <protection/>
    </xf>
    <xf numFmtId="0" fontId="15" fillId="0" borderId="0" xfId="0" applyFont="1" applyBorder="1" applyAlignment="1">
      <alignment/>
    </xf>
    <xf numFmtId="0" fontId="18" fillId="0" borderId="0" xfId="0" applyFont="1" applyBorder="1" applyAlignment="1">
      <alignment/>
    </xf>
    <xf numFmtId="1" fontId="6" fillId="0" borderId="11" xfId="0" applyNumberFormat="1" applyFont="1" applyBorder="1" applyAlignment="1">
      <alignment horizontal="center"/>
    </xf>
    <xf numFmtId="0" fontId="6" fillId="0" borderId="10" xfId="0" applyFont="1" applyBorder="1" applyAlignment="1">
      <alignment/>
    </xf>
    <xf numFmtId="0" fontId="6" fillId="0" borderId="5" xfId="0" applyFont="1" applyBorder="1" applyAlignment="1" applyProtection="1">
      <alignment horizontal="left"/>
      <protection/>
    </xf>
    <xf numFmtId="0" fontId="6" fillId="0" borderId="10" xfId="0" applyFont="1" applyBorder="1" applyAlignment="1" applyProtection="1">
      <alignment horizontal="left"/>
      <protection/>
    </xf>
    <xf numFmtId="2" fontId="6" fillId="3" borderId="50" xfId="0" applyNumberFormat="1"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3" fontId="6" fillId="0" borderId="14" xfId="0" applyNumberFormat="1" applyFont="1" applyBorder="1" applyAlignment="1">
      <alignment horizontal="center"/>
    </xf>
    <xf numFmtId="0" fontId="6" fillId="0" borderId="14" xfId="0" applyFont="1" applyBorder="1" applyAlignment="1">
      <alignment/>
    </xf>
    <xf numFmtId="0" fontId="6" fillId="3" borderId="11" xfId="0" applyFont="1" applyFill="1" applyBorder="1" applyAlignment="1" applyProtection="1">
      <alignment horizontal="center"/>
      <protection locked="0"/>
    </xf>
    <xf numFmtId="3" fontId="6" fillId="2" borderId="51" xfId="0" applyNumberFormat="1" applyFont="1" applyFill="1" applyBorder="1" applyAlignment="1">
      <alignment horizontal="center"/>
    </xf>
    <xf numFmtId="3" fontId="6" fillId="0" borderId="11" xfId="0" applyNumberFormat="1" applyFont="1" applyBorder="1" applyAlignment="1" applyProtection="1">
      <alignment horizontal="center"/>
      <protection/>
    </xf>
    <xf numFmtId="3" fontId="6" fillId="0" borderId="52" xfId="0" applyNumberFormat="1" applyFont="1" applyBorder="1" applyAlignment="1">
      <alignment horizontal="center"/>
    </xf>
    <xf numFmtId="0" fontId="7" fillId="0" borderId="0" xfId="0" applyFont="1" applyBorder="1" applyAlignment="1">
      <alignment horizontal="center"/>
    </xf>
    <xf numFmtId="3" fontId="6" fillId="2" borderId="53" xfId="0" applyNumberFormat="1" applyFont="1" applyFill="1" applyBorder="1" applyAlignment="1" applyProtection="1">
      <alignment horizontal="center"/>
      <protection/>
    </xf>
    <xf numFmtId="3" fontId="6" fillId="0" borderId="54" xfId="0" applyNumberFormat="1" applyFont="1" applyBorder="1" applyAlignment="1">
      <alignment horizontal="center"/>
    </xf>
    <xf numFmtId="3" fontId="6" fillId="0" borderId="55" xfId="0" applyNumberFormat="1" applyFont="1" applyBorder="1" applyAlignment="1">
      <alignment/>
    </xf>
    <xf numFmtId="3" fontId="6" fillId="0" borderId="55" xfId="0" applyNumberFormat="1" applyFont="1" applyBorder="1" applyAlignment="1">
      <alignment horizontal="right"/>
    </xf>
    <xf numFmtId="0" fontId="6" fillId="2" borderId="4" xfId="0" applyFont="1" applyFill="1" applyBorder="1" applyAlignment="1">
      <alignment horizontal="centerContinuous"/>
    </xf>
    <xf numFmtId="0" fontId="6" fillId="2" borderId="55" xfId="0" applyFont="1" applyFill="1" applyBorder="1" applyAlignment="1">
      <alignment horizontal="centerContinuous"/>
    </xf>
    <xf numFmtId="175" fontId="6" fillId="3" borderId="31" xfId="0" applyNumberFormat="1" applyFont="1" applyFill="1" applyBorder="1" applyAlignment="1" applyProtection="1">
      <alignment horizontal="center"/>
      <protection locked="0"/>
    </xf>
    <xf numFmtId="175" fontId="6" fillId="3" borderId="35" xfId="0" applyNumberFormat="1" applyFont="1" applyFill="1" applyBorder="1" applyAlignment="1" applyProtection="1">
      <alignment horizontal="center"/>
      <protection locked="0"/>
    </xf>
    <xf numFmtId="3" fontId="6" fillId="0" borderId="11" xfId="0" applyNumberFormat="1" applyFont="1" applyBorder="1" applyAlignment="1">
      <alignment/>
    </xf>
    <xf numFmtId="0" fontId="6" fillId="0" borderId="55" xfId="0" applyFont="1" applyBorder="1" applyAlignment="1">
      <alignment/>
    </xf>
    <xf numFmtId="0" fontId="10" fillId="0" borderId="0" xfId="0" applyFont="1" applyAlignment="1">
      <alignment/>
    </xf>
    <xf numFmtId="0" fontId="20" fillId="2" borderId="28" xfId="0" applyFont="1" applyFill="1" applyBorder="1" applyAlignment="1">
      <alignment/>
    </xf>
    <xf numFmtId="0" fontId="20" fillId="2" borderId="29" xfId="0" applyFont="1" applyFill="1" applyBorder="1" applyAlignment="1">
      <alignment/>
    </xf>
    <xf numFmtId="0" fontId="20" fillId="2" borderId="48" xfId="0" applyFont="1" applyFill="1" applyBorder="1" applyAlignment="1">
      <alignment/>
    </xf>
    <xf numFmtId="0" fontId="10" fillId="0" borderId="40" xfId="0" applyFont="1" applyBorder="1" applyAlignment="1" applyProtection="1">
      <alignment/>
      <protection/>
    </xf>
    <xf numFmtId="0" fontId="10" fillId="2" borderId="28" xfId="0" applyFont="1" applyFill="1" applyBorder="1" applyAlignment="1">
      <alignment/>
    </xf>
    <xf numFmtId="0" fontId="10" fillId="2" borderId="29" xfId="0" applyFont="1" applyFill="1" applyBorder="1" applyAlignment="1">
      <alignment/>
    </xf>
    <xf numFmtId="0" fontId="10" fillId="2" borderId="48" xfId="0" applyFont="1" applyFill="1" applyBorder="1" applyAlignment="1">
      <alignment/>
    </xf>
    <xf numFmtId="0" fontId="10" fillId="2" borderId="29" xfId="0" applyFont="1" applyFill="1" applyBorder="1" applyAlignment="1" applyProtection="1">
      <alignment/>
      <protection/>
    </xf>
    <xf numFmtId="0" fontId="10" fillId="0" borderId="20" xfId="0" applyFont="1" applyBorder="1" applyAlignment="1" applyProtection="1">
      <alignment/>
      <protection/>
    </xf>
    <xf numFmtId="0" fontId="10" fillId="0" borderId="29" xfId="0" applyFont="1" applyBorder="1" applyAlignment="1" applyProtection="1">
      <alignment/>
      <protection/>
    </xf>
    <xf numFmtId="0" fontId="10" fillId="0" borderId="48" xfId="0" applyFont="1" applyBorder="1" applyAlignment="1" applyProtection="1">
      <alignment/>
      <protection/>
    </xf>
    <xf numFmtId="0" fontId="10" fillId="0" borderId="0" xfId="0" applyFont="1" applyBorder="1" applyAlignment="1">
      <alignment/>
    </xf>
    <xf numFmtId="0" fontId="10" fillId="0" borderId="41" xfId="0" applyFont="1" applyBorder="1" applyAlignment="1">
      <alignment/>
    </xf>
    <xf numFmtId="0" fontId="11" fillId="0" borderId="4" xfId="0" applyFont="1" applyBorder="1" applyAlignment="1">
      <alignment/>
    </xf>
    <xf numFmtId="0" fontId="8" fillId="0" borderId="4" xfId="0" applyFont="1" applyBorder="1" applyAlignment="1" applyProtection="1">
      <alignment horizontal="center"/>
      <protection locked="0"/>
    </xf>
    <xf numFmtId="0" fontId="10" fillId="0" borderId="10" xfId="0" applyFont="1" applyBorder="1" applyAlignment="1" applyProtection="1">
      <alignment/>
      <protection/>
    </xf>
    <xf numFmtId="0" fontId="6" fillId="2" borderId="11" xfId="0" applyFont="1" applyFill="1" applyBorder="1" applyAlignment="1" applyProtection="1">
      <alignment/>
      <protection/>
    </xf>
    <xf numFmtId="0" fontId="10" fillId="2" borderId="4" xfId="0" applyFont="1" applyFill="1" applyBorder="1" applyAlignment="1" applyProtection="1">
      <alignment/>
      <protection/>
    </xf>
    <xf numFmtId="0" fontId="10" fillId="0" borderId="41" xfId="0" applyFont="1" applyBorder="1" applyAlignment="1" applyProtection="1">
      <alignment/>
      <protection/>
    </xf>
    <xf numFmtId="0" fontId="19" fillId="0" borderId="0" xfId="0" applyFont="1" applyBorder="1" applyAlignment="1">
      <alignment/>
    </xf>
    <xf numFmtId="0" fontId="10" fillId="0" borderId="10" xfId="0" applyFont="1" applyBorder="1" applyAlignment="1">
      <alignment/>
    </xf>
    <xf numFmtId="3" fontId="6" fillId="3" borderId="31" xfId="0" applyNumberFormat="1" applyFont="1" applyFill="1" applyBorder="1" applyAlignment="1" applyProtection="1">
      <alignment horizontal="center"/>
      <protection locked="0"/>
    </xf>
    <xf numFmtId="3" fontId="6" fillId="3" borderId="35" xfId="0" applyNumberFormat="1" applyFont="1" applyFill="1" applyBorder="1" applyAlignment="1" applyProtection="1">
      <alignment horizontal="center"/>
      <protection locked="0"/>
    </xf>
    <xf numFmtId="39" fontId="6" fillId="2" borderId="11" xfId="0" applyNumberFormat="1"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4" fillId="2" borderId="0" xfId="0" applyFont="1" applyFill="1" applyBorder="1" applyAlignment="1">
      <alignment/>
    </xf>
    <xf numFmtId="0" fontId="8" fillId="2" borderId="0" xfId="0" applyFont="1" applyFill="1" applyBorder="1" applyAlignment="1">
      <alignment horizontal="center"/>
    </xf>
    <xf numFmtId="0" fontId="8" fillId="2" borderId="12" xfId="0" applyFont="1" applyFill="1" applyBorder="1" applyAlignment="1" applyProtection="1">
      <alignment horizontal="center"/>
      <protection/>
    </xf>
    <xf numFmtId="0" fontId="8" fillId="2" borderId="13" xfId="0" applyFont="1" applyFill="1" applyBorder="1" applyAlignment="1" applyProtection="1">
      <alignment horizontal="center"/>
      <protection/>
    </xf>
    <xf numFmtId="0" fontId="8" fillId="2" borderId="14" xfId="0" applyFont="1" applyFill="1" applyBorder="1" applyAlignment="1" applyProtection="1">
      <alignment horizontal="center"/>
      <protection/>
    </xf>
    <xf numFmtId="0" fontId="11" fillId="2" borderId="4" xfId="0" applyFont="1" applyFill="1" applyBorder="1" applyAlignment="1">
      <alignment horizontal="centerContinuous"/>
    </xf>
    <xf numFmtId="0" fontId="11" fillId="2" borderId="41" xfId="0" applyFont="1" applyFill="1" applyBorder="1" applyAlignment="1">
      <alignment horizontal="centerContinuous"/>
    </xf>
    <xf numFmtId="0" fontId="11" fillId="2" borderId="55" xfId="0" applyFont="1" applyFill="1" applyBorder="1" applyAlignment="1">
      <alignment horizontal="centerContinuous"/>
    </xf>
    <xf numFmtId="0" fontId="8" fillId="2" borderId="14" xfId="0" applyFont="1" applyFill="1" applyBorder="1" applyAlignment="1" applyProtection="1" quotePrefix="1">
      <alignment horizontal="center"/>
      <protection/>
    </xf>
    <xf numFmtId="0" fontId="8" fillId="2" borderId="12" xfId="0" applyFont="1" applyFill="1" applyBorder="1" applyAlignment="1">
      <alignment horizontal="center"/>
    </xf>
    <xf numFmtId="0" fontId="8" fillId="2" borderId="14" xfId="0" applyFont="1" applyFill="1" applyBorder="1" applyAlignment="1">
      <alignment horizontal="center"/>
    </xf>
    <xf numFmtId="2" fontId="6" fillId="2" borderId="11" xfId="0" applyNumberFormat="1" applyFont="1" applyFill="1" applyBorder="1" applyAlignment="1" applyProtection="1">
      <alignment horizontal="center"/>
      <protection/>
    </xf>
    <xf numFmtId="0" fontId="0" fillId="2" borderId="0" xfId="0" applyFill="1" applyAlignment="1">
      <alignment/>
    </xf>
    <xf numFmtId="0" fontId="6" fillId="2" borderId="11" xfId="0" applyFont="1" applyFill="1" applyBorder="1" applyAlignment="1">
      <alignment horizontal="center"/>
    </xf>
    <xf numFmtId="1" fontId="6" fillId="2" borderId="11" xfId="0" applyNumberFormat="1" applyFont="1" applyFill="1" applyBorder="1" applyAlignment="1">
      <alignment horizontal="center"/>
    </xf>
    <xf numFmtId="0" fontId="6" fillId="2" borderId="0" xfId="0" applyFont="1" applyFill="1" applyBorder="1" applyAlignment="1" applyProtection="1">
      <alignment horizontal="center"/>
      <protection/>
    </xf>
    <xf numFmtId="0" fontId="6" fillId="2" borderId="0" xfId="0" applyFont="1" applyFill="1" applyBorder="1" applyAlignment="1">
      <alignment horizontal="center"/>
    </xf>
    <xf numFmtId="0" fontId="7" fillId="2" borderId="0" xfId="0" applyFont="1" applyFill="1" applyBorder="1" applyAlignment="1" applyProtection="1">
      <alignment/>
      <protection/>
    </xf>
    <xf numFmtId="0" fontId="4" fillId="2" borderId="0" xfId="0" applyFont="1" applyFill="1" applyBorder="1" applyAlignment="1" applyProtection="1">
      <alignment/>
      <protection/>
    </xf>
    <xf numFmtId="0" fontId="11" fillId="2" borderId="0" xfId="0" applyFont="1" applyFill="1" applyAlignment="1" applyProtection="1">
      <alignment horizontal="left"/>
      <protection/>
    </xf>
    <xf numFmtId="0" fontId="13" fillId="2" borderId="0" xfId="0" applyFont="1" applyFill="1" applyAlignment="1" applyProtection="1">
      <alignment/>
      <protection/>
    </xf>
    <xf numFmtId="0" fontId="11" fillId="2" borderId="0" xfId="0" applyFont="1" applyFill="1" applyAlignment="1" applyProtection="1">
      <alignment/>
      <protection/>
    </xf>
    <xf numFmtId="0" fontId="12" fillId="2" borderId="0" xfId="0" applyFont="1" applyFill="1" applyAlignment="1" applyProtection="1">
      <alignment/>
      <protection/>
    </xf>
    <xf numFmtId="0" fontId="9" fillId="2" borderId="11" xfId="0" applyFont="1" applyFill="1" applyBorder="1" applyAlignment="1" applyProtection="1">
      <alignment/>
      <protection/>
    </xf>
    <xf numFmtId="0" fontId="10" fillId="2" borderId="11" xfId="0" applyFont="1" applyFill="1" applyBorder="1" applyAlignment="1" applyProtection="1">
      <alignment/>
      <protection/>
    </xf>
    <xf numFmtId="49" fontId="6" fillId="2" borderId="11" xfId="0" applyNumberFormat="1" applyFont="1" applyFill="1" applyBorder="1" applyAlignment="1">
      <alignment horizontal="center"/>
    </xf>
    <xf numFmtId="0" fontId="6" fillId="2" borderId="4" xfId="0" applyFont="1" applyFill="1" applyBorder="1" applyAlignment="1" applyProtection="1">
      <alignment/>
      <protection/>
    </xf>
    <xf numFmtId="0" fontId="6" fillId="2" borderId="55" xfId="0" applyFont="1" applyFill="1" applyBorder="1" applyAlignment="1" applyProtection="1">
      <alignment/>
      <protection/>
    </xf>
    <xf numFmtId="0" fontId="8" fillId="2" borderId="0" xfId="0" applyFont="1" applyFill="1" applyBorder="1" applyAlignment="1">
      <alignment/>
    </xf>
    <xf numFmtId="0" fontId="7" fillId="2" borderId="0" xfId="0" applyFont="1" applyFill="1" applyBorder="1" applyAlignment="1">
      <alignment/>
    </xf>
    <xf numFmtId="0" fontId="6" fillId="2" borderId="0" xfId="0" applyFont="1" applyFill="1" applyBorder="1" applyAlignment="1">
      <alignment/>
    </xf>
    <xf numFmtId="0" fontId="6" fillId="2" borderId="0" xfId="0" applyFont="1" applyFill="1" applyBorder="1" applyAlignment="1">
      <alignment/>
    </xf>
    <xf numFmtId="0" fontId="7" fillId="2" borderId="0" xfId="0" applyFont="1" applyFill="1" applyBorder="1" applyAlignment="1">
      <alignment/>
    </xf>
    <xf numFmtId="0" fontId="8" fillId="2" borderId="0" xfId="0" applyFont="1" applyFill="1" applyBorder="1" applyAlignment="1">
      <alignment/>
    </xf>
    <xf numFmtId="0" fontId="9" fillId="2" borderId="0" xfId="0" applyFont="1" applyFill="1" applyAlignment="1">
      <alignment/>
    </xf>
    <xf numFmtId="0" fontId="6" fillId="6" borderId="0" xfId="0" applyFont="1" applyFill="1" applyBorder="1" applyAlignment="1">
      <alignment/>
    </xf>
    <xf numFmtId="0" fontId="4" fillId="0" borderId="0" xfId="0" applyFont="1" applyBorder="1" applyAlignment="1">
      <alignment horizontal="right"/>
    </xf>
    <xf numFmtId="0" fontId="8" fillId="0" borderId="0" xfId="0" applyFont="1" applyBorder="1" applyAlignment="1" applyProtection="1">
      <alignment horizontal="right"/>
      <protection/>
    </xf>
    <xf numFmtId="0" fontId="6" fillId="2" borderId="13" xfId="0" applyFont="1" applyFill="1" applyBorder="1" applyAlignment="1">
      <alignment/>
    </xf>
    <xf numFmtId="0" fontId="6" fillId="2" borderId="14" xfId="0" applyFont="1" applyFill="1" applyBorder="1" applyAlignment="1">
      <alignment/>
    </xf>
    <xf numFmtId="0" fontId="6" fillId="2" borderId="11" xfId="0" applyFont="1" applyFill="1" applyBorder="1" applyAlignment="1">
      <alignment/>
    </xf>
    <xf numFmtId="0" fontId="8" fillId="2" borderId="12" xfId="0" applyFont="1" applyFill="1" applyBorder="1" applyAlignment="1">
      <alignment horizontal="right"/>
    </xf>
    <xf numFmtId="0" fontId="9" fillId="2" borderId="6" xfId="0" applyFont="1" applyFill="1" applyBorder="1" applyAlignment="1">
      <alignment/>
    </xf>
    <xf numFmtId="0" fontId="9" fillId="2" borderId="10" xfId="0" applyFont="1" applyFill="1" applyBorder="1" applyAlignment="1">
      <alignment/>
    </xf>
    <xf numFmtId="0" fontId="9" fillId="2" borderId="0" xfId="0" applyFont="1" applyFill="1" applyAlignment="1">
      <alignment horizontal="right"/>
    </xf>
    <xf numFmtId="0" fontId="9" fillId="2" borderId="0" xfId="0" applyFont="1" applyFill="1" applyAlignment="1">
      <alignment horizontal="center"/>
    </xf>
    <xf numFmtId="0" fontId="9" fillId="2" borderId="56" xfId="0" applyFont="1" applyFill="1" applyBorder="1" applyAlignment="1">
      <alignment/>
    </xf>
    <xf numFmtId="0" fontId="11" fillId="2" borderId="57" xfId="0" applyFont="1" applyFill="1" applyBorder="1" applyAlignment="1">
      <alignment/>
    </xf>
    <xf numFmtId="0" fontId="9" fillId="2" borderId="58" xfId="0" applyFont="1" applyFill="1" applyBorder="1" applyAlignment="1">
      <alignment/>
    </xf>
    <xf numFmtId="0" fontId="9" fillId="2" borderId="59" xfId="0" applyFont="1" applyFill="1" applyBorder="1" applyAlignment="1">
      <alignment/>
    </xf>
    <xf numFmtId="0" fontId="9" fillId="2" borderId="60" xfId="0" applyFont="1" applyFill="1" applyBorder="1" applyAlignment="1">
      <alignment/>
    </xf>
    <xf numFmtId="0" fontId="9" fillId="2" borderId="61" xfId="0" applyFont="1" applyFill="1" applyBorder="1" applyAlignment="1">
      <alignment/>
    </xf>
    <xf numFmtId="0" fontId="9" fillId="2" borderId="62" xfId="0" applyFont="1" applyFill="1" applyBorder="1" applyAlignment="1">
      <alignment/>
    </xf>
    <xf numFmtId="0" fontId="9" fillId="2" borderId="63" xfId="0" applyFont="1" applyFill="1" applyBorder="1" applyAlignment="1">
      <alignment/>
    </xf>
    <xf numFmtId="0" fontId="11" fillId="2" borderId="64" xfId="0" applyFont="1" applyFill="1" applyBorder="1" applyAlignment="1">
      <alignment horizontal="center"/>
    </xf>
    <xf numFmtId="0" fontId="11" fillId="2" borderId="65" xfId="0" applyFont="1" applyFill="1" applyBorder="1" applyAlignment="1">
      <alignment horizontal="center"/>
    </xf>
    <xf numFmtId="0" fontId="11" fillId="2" borderId="56" xfId="0" applyFont="1" applyFill="1" applyBorder="1" applyAlignment="1">
      <alignment horizontal="center"/>
    </xf>
    <xf numFmtId="0" fontId="11" fillId="2" borderId="0" xfId="0" applyFont="1" applyFill="1" applyAlignment="1" applyProtection="1">
      <alignment horizontal="centerContinuous"/>
      <protection/>
    </xf>
    <xf numFmtId="0" fontId="0" fillId="2" borderId="0" xfId="0" applyFill="1" applyAlignment="1" applyProtection="1">
      <alignment/>
      <protection/>
    </xf>
    <xf numFmtId="0" fontId="11" fillId="2" borderId="3" xfId="0" applyFont="1" applyFill="1" applyBorder="1" applyAlignment="1" applyProtection="1">
      <alignment horizontal="centerContinuous"/>
      <protection/>
    </xf>
    <xf numFmtId="0" fontId="11" fillId="2" borderId="8" xfId="0" applyFont="1" applyFill="1" applyBorder="1" applyAlignment="1" applyProtection="1">
      <alignment horizontal="centerContinuous"/>
      <protection/>
    </xf>
    <xf numFmtId="0" fontId="11" fillId="2" borderId="12" xfId="0" applyFont="1" applyFill="1" applyBorder="1" applyAlignment="1" applyProtection="1">
      <alignment horizontal="center"/>
      <protection/>
    </xf>
    <xf numFmtId="0" fontId="0" fillId="2" borderId="5" xfId="0" applyFill="1" applyBorder="1" applyAlignment="1" applyProtection="1">
      <alignment/>
      <protection/>
    </xf>
    <xf numFmtId="0" fontId="0" fillId="2" borderId="15" xfId="0" applyFill="1" applyBorder="1" applyAlignment="1" applyProtection="1">
      <alignment/>
      <protection/>
    </xf>
    <xf numFmtId="0" fontId="0" fillId="2" borderId="14" xfId="0" applyFill="1" applyBorder="1" applyAlignment="1" applyProtection="1">
      <alignment/>
      <protection/>
    </xf>
    <xf numFmtId="0" fontId="9" fillId="2" borderId="14" xfId="0" applyFont="1" applyFill="1" applyBorder="1" applyAlignment="1" applyProtection="1">
      <alignment horizontal="center"/>
      <protection/>
    </xf>
    <xf numFmtId="0" fontId="9" fillId="2" borderId="11" xfId="0" applyFont="1" applyFill="1" applyBorder="1" applyAlignment="1" applyProtection="1">
      <alignment horizontal="left"/>
      <protection/>
    </xf>
    <xf numFmtId="0" fontId="9" fillId="2" borderId="11" xfId="0" applyFont="1" applyFill="1" applyBorder="1" applyAlignment="1" applyProtection="1">
      <alignment horizontal="center"/>
      <protection/>
    </xf>
    <xf numFmtId="1" fontId="9" fillId="2" borderId="11" xfId="0" applyNumberFormat="1" applyFont="1" applyFill="1" applyBorder="1" applyAlignment="1" applyProtection="1">
      <alignment horizontal="center"/>
      <protection/>
    </xf>
    <xf numFmtId="0" fontId="9" fillId="2" borderId="66" xfId="0" applyFont="1" applyFill="1" applyBorder="1" applyAlignment="1">
      <alignment horizontal="left"/>
    </xf>
    <xf numFmtId="0" fontId="9" fillId="2" borderId="67" xfId="0" applyFont="1" applyFill="1" applyBorder="1" applyAlignment="1">
      <alignment horizontal="left"/>
    </xf>
    <xf numFmtId="0" fontId="9" fillId="2" borderId="68" xfId="0" applyFont="1" applyFill="1" applyBorder="1" applyAlignment="1">
      <alignment horizontal="left"/>
    </xf>
    <xf numFmtId="0" fontId="9" fillId="2" borderId="41" xfId="0" applyFont="1" applyFill="1" applyBorder="1" applyAlignment="1">
      <alignment horizontal="left"/>
    </xf>
    <xf numFmtId="0" fontId="9" fillId="2" borderId="61" xfId="0" applyFont="1" applyFill="1" applyBorder="1" applyAlignment="1">
      <alignment horizontal="left"/>
    </xf>
    <xf numFmtId="0" fontId="9" fillId="2" borderId="69" xfId="0" applyFont="1" applyFill="1" applyBorder="1" applyAlignment="1">
      <alignment horizontal="left"/>
    </xf>
    <xf numFmtId="1" fontId="9" fillId="7" borderId="64" xfId="0" applyNumberFormat="1" applyFont="1" applyFill="1" applyBorder="1" applyAlignment="1">
      <alignment horizontal="center"/>
    </xf>
    <xf numFmtId="1" fontId="9" fillId="7" borderId="65" xfId="0" applyNumberFormat="1" applyFont="1" applyFill="1" applyBorder="1" applyAlignment="1">
      <alignment horizontal="center"/>
    </xf>
    <xf numFmtId="1" fontId="9" fillId="7" borderId="70" xfId="0" applyNumberFormat="1" applyFont="1" applyFill="1" applyBorder="1" applyAlignment="1">
      <alignment horizontal="center"/>
    </xf>
    <xf numFmtId="1" fontId="9" fillId="7" borderId="56" xfId="0" applyNumberFormat="1" applyFont="1" applyFill="1" applyBorder="1" applyAlignment="1">
      <alignment horizontal="center"/>
    </xf>
    <xf numFmtId="1" fontId="9" fillId="7" borderId="71" xfId="0" applyNumberFormat="1" applyFont="1" applyFill="1" applyBorder="1" applyAlignment="1">
      <alignment horizontal="center"/>
    </xf>
    <xf numFmtId="1" fontId="9" fillId="7" borderId="72" xfId="0" applyNumberFormat="1" applyFont="1" applyFill="1" applyBorder="1" applyAlignment="1">
      <alignment horizontal="center"/>
    </xf>
    <xf numFmtId="1" fontId="9" fillId="7" borderId="73" xfId="0" applyNumberFormat="1" applyFont="1" applyFill="1" applyBorder="1" applyAlignment="1">
      <alignment horizontal="center"/>
    </xf>
    <xf numFmtId="1" fontId="9" fillId="7" borderId="74" xfId="0" applyNumberFormat="1" applyFont="1" applyFill="1" applyBorder="1" applyAlignment="1">
      <alignment horizontal="center"/>
    </xf>
    <xf numFmtId="1" fontId="9" fillId="7" borderId="75" xfId="0" applyNumberFormat="1" applyFont="1" applyFill="1" applyBorder="1" applyAlignment="1">
      <alignment horizontal="center"/>
    </xf>
    <xf numFmtId="1" fontId="9" fillId="7" borderId="76" xfId="0" applyNumberFormat="1" applyFont="1" applyFill="1" applyBorder="1" applyAlignment="1">
      <alignment horizontal="center"/>
    </xf>
    <xf numFmtId="0" fontId="9" fillId="7" borderId="76" xfId="0" applyFont="1" applyFill="1" applyBorder="1" applyAlignment="1">
      <alignment horizontal="center"/>
    </xf>
    <xf numFmtId="0" fontId="9" fillId="7" borderId="73" xfId="0" applyFont="1" applyFill="1" applyBorder="1" applyAlignment="1">
      <alignment horizontal="center"/>
    </xf>
    <xf numFmtId="0" fontId="9" fillId="7" borderId="61" xfId="0" applyFont="1" applyFill="1" applyBorder="1" applyAlignment="1">
      <alignment horizontal="center"/>
    </xf>
    <xf numFmtId="170" fontId="6" fillId="7" borderId="31" xfId="0" applyNumberFormat="1" applyFont="1" applyFill="1" applyBorder="1" applyAlignment="1" applyProtection="1">
      <alignment/>
      <protection/>
    </xf>
    <xf numFmtId="170" fontId="6" fillId="7" borderId="32" xfId="0" applyNumberFormat="1" applyFont="1" applyFill="1" applyBorder="1" applyAlignment="1" applyProtection="1">
      <alignment/>
      <protection/>
    </xf>
    <xf numFmtId="1" fontId="6" fillId="7" borderId="77" xfId="0" applyNumberFormat="1" applyFont="1" applyFill="1" applyBorder="1" applyAlignment="1" applyProtection="1">
      <alignment horizontal="center"/>
      <protection/>
    </xf>
    <xf numFmtId="1" fontId="6" fillId="7" borderId="27" xfId="0" applyNumberFormat="1" applyFont="1" applyFill="1" applyBorder="1" applyAlignment="1" applyProtection="1">
      <alignment horizontal="center"/>
      <protection/>
    </xf>
    <xf numFmtId="1" fontId="6" fillId="7" borderId="31" xfId="0" applyNumberFormat="1" applyFont="1" applyFill="1" applyBorder="1" applyAlignment="1" applyProtection="1">
      <alignment horizontal="center"/>
      <protection/>
    </xf>
    <xf numFmtId="37" fontId="6" fillId="7" borderId="32" xfId="0" applyNumberFormat="1" applyFont="1" applyFill="1" applyBorder="1" applyAlignment="1" applyProtection="1">
      <alignment horizontal="center"/>
      <protection/>
    </xf>
    <xf numFmtId="1" fontId="6" fillId="7" borderId="35" xfId="0" applyNumberFormat="1" applyFont="1" applyFill="1" applyBorder="1" applyAlignment="1" applyProtection="1">
      <alignment horizontal="center"/>
      <protection/>
    </xf>
    <xf numFmtId="37" fontId="6" fillId="7" borderId="36" xfId="0" applyNumberFormat="1" applyFont="1" applyFill="1" applyBorder="1" applyAlignment="1" applyProtection="1">
      <alignment horizontal="center"/>
      <protection/>
    </xf>
    <xf numFmtId="0" fontId="6" fillId="2" borderId="14" xfId="0" applyFont="1" applyFill="1" applyBorder="1" applyAlignment="1" applyProtection="1">
      <alignment horizontal="left"/>
      <protection/>
    </xf>
    <xf numFmtId="39" fontId="6" fillId="2" borderId="14" xfId="0" applyNumberFormat="1" applyFont="1" applyFill="1" applyBorder="1" applyAlignment="1" applyProtection="1">
      <alignment horizontal="center"/>
      <protection/>
    </xf>
    <xf numFmtId="0" fontId="6" fillId="2" borderId="14" xfId="0" applyFont="1" applyFill="1" applyBorder="1" applyAlignment="1">
      <alignment horizontal="center"/>
    </xf>
    <xf numFmtId="1" fontId="6" fillId="2" borderId="14" xfId="0" applyNumberFormat="1" applyFont="1" applyFill="1" applyBorder="1" applyAlignment="1">
      <alignment horizontal="center"/>
    </xf>
    <xf numFmtId="0" fontId="9" fillId="3" borderId="78" xfId="0" applyFont="1" applyFill="1" applyBorder="1" applyAlignment="1" applyProtection="1">
      <alignment horizontal="center"/>
      <protection locked="0"/>
    </xf>
    <xf numFmtId="0" fontId="9" fillId="3" borderId="79" xfId="0" applyFont="1" applyFill="1" applyBorder="1" applyAlignment="1" applyProtection="1">
      <alignment horizontal="center"/>
      <protection locked="0"/>
    </xf>
    <xf numFmtId="0" fontId="9" fillId="3" borderId="55" xfId="0" applyFont="1" applyFill="1" applyBorder="1" applyAlignment="1" applyProtection="1">
      <alignment horizontal="center"/>
      <protection locked="0"/>
    </xf>
    <xf numFmtId="1" fontId="9" fillId="3" borderId="79" xfId="0" applyNumberFormat="1" applyFont="1" applyFill="1" applyBorder="1" applyAlignment="1" applyProtection="1">
      <alignment horizontal="center"/>
      <protection locked="0"/>
    </xf>
    <xf numFmtId="0" fontId="9" fillId="2" borderId="4" xfId="0" applyFont="1" applyFill="1" applyBorder="1" applyAlignment="1" applyProtection="1">
      <alignment/>
      <protection/>
    </xf>
    <xf numFmtId="0" fontId="10" fillId="2" borderId="55" xfId="0" applyFont="1" applyFill="1" applyBorder="1" applyAlignment="1" applyProtection="1">
      <alignment/>
      <protection/>
    </xf>
    <xf numFmtId="0" fontId="6" fillId="2" borderId="11" xfId="0" applyFont="1" applyFill="1" applyBorder="1" applyAlignment="1">
      <alignment horizontal="left"/>
    </xf>
    <xf numFmtId="1" fontId="9" fillId="2" borderId="80" xfId="0" applyNumberFormat="1" applyFont="1" applyFill="1" applyBorder="1" applyAlignment="1">
      <alignment horizontal="center" vertical="center"/>
    </xf>
    <xf numFmtId="39" fontId="6" fillId="2" borderId="18" xfId="0" applyNumberFormat="1" applyFont="1" applyFill="1" applyBorder="1" applyAlignment="1" applyProtection="1">
      <alignment horizontal="center"/>
      <protection/>
    </xf>
    <xf numFmtId="39" fontId="6" fillId="2" borderId="26" xfId="0" applyNumberFormat="1" applyFont="1" applyFill="1" applyBorder="1" applyAlignment="1" applyProtection="1">
      <alignment horizontal="center"/>
      <protection/>
    </xf>
    <xf numFmtId="39" fontId="6" fillId="2" borderId="31" xfId="0" applyNumberFormat="1" applyFont="1" applyFill="1" applyBorder="1" applyAlignment="1" applyProtection="1">
      <alignment horizontal="center"/>
      <protection/>
    </xf>
    <xf numFmtId="39" fontId="6" fillId="2" borderId="77" xfId="0" applyNumberFormat="1" applyFont="1" applyFill="1" applyBorder="1" applyAlignment="1" applyProtection="1">
      <alignment horizontal="center"/>
      <protection/>
    </xf>
    <xf numFmtId="39" fontId="6" fillId="2" borderId="35" xfId="0" applyNumberFormat="1" applyFont="1" applyFill="1" applyBorder="1" applyAlignment="1" applyProtection="1">
      <alignment horizontal="center"/>
      <protection/>
    </xf>
    <xf numFmtId="2" fontId="6" fillId="2" borderId="31" xfId="0" applyNumberFormat="1" applyFont="1" applyFill="1" applyBorder="1" applyAlignment="1" applyProtection="1">
      <alignment horizontal="center"/>
      <protection/>
    </xf>
    <xf numFmtId="2" fontId="6" fillId="2" borderId="35" xfId="0" applyNumberFormat="1" applyFont="1" applyFill="1" applyBorder="1" applyAlignment="1" applyProtection="1">
      <alignment horizontal="center"/>
      <protection/>
    </xf>
    <xf numFmtId="0" fontId="9" fillId="7" borderId="62" xfId="0" applyFont="1" applyFill="1" applyBorder="1" applyAlignment="1">
      <alignment horizontal="center"/>
    </xf>
    <xf numFmtId="0" fontId="9" fillId="7" borderId="69" xfId="0" applyFont="1" applyFill="1" applyBorder="1" applyAlignment="1">
      <alignment horizontal="center"/>
    </xf>
    <xf numFmtId="4" fontId="9" fillId="7" borderId="11" xfId="0" applyNumberFormat="1" applyFont="1" applyFill="1" applyBorder="1" applyAlignment="1" applyProtection="1">
      <alignment horizontal="center"/>
      <protection/>
    </xf>
    <xf numFmtId="3" fontId="9" fillId="7" borderId="11" xfId="0" applyNumberFormat="1" applyFont="1" applyFill="1" applyBorder="1" applyAlignment="1" applyProtection="1">
      <alignment horizontal="center"/>
      <protection/>
    </xf>
    <xf numFmtId="3" fontId="9" fillId="3" borderId="11" xfId="0" applyNumberFormat="1" applyFont="1" applyFill="1" applyBorder="1" applyAlignment="1" applyProtection="1">
      <alignment horizontal="center"/>
      <protection locked="0"/>
    </xf>
    <xf numFmtId="169" fontId="9" fillId="3" borderId="11" xfId="0" applyNumberFormat="1" applyFont="1" applyFill="1" applyBorder="1" applyAlignment="1" applyProtection="1">
      <alignment horizontal="center"/>
      <protection locked="0"/>
    </xf>
    <xf numFmtId="0" fontId="8" fillId="2" borderId="6" xfId="0" applyFont="1" applyFill="1" applyBorder="1" applyAlignment="1" applyProtection="1">
      <alignment horizontal="center"/>
      <protection/>
    </xf>
    <xf numFmtId="0" fontId="8" fillId="2" borderId="8" xfId="0" applyFont="1" applyFill="1" applyBorder="1" applyAlignment="1">
      <alignment horizontal="center"/>
    </xf>
    <xf numFmtId="0" fontId="8" fillId="2" borderId="10" xfId="0" applyFont="1" applyFill="1" applyBorder="1" applyAlignment="1" applyProtection="1">
      <alignment horizontal="center"/>
      <protection/>
    </xf>
    <xf numFmtId="0" fontId="8" fillId="2" borderId="15" xfId="0" applyFont="1" applyFill="1" applyBorder="1" applyAlignment="1">
      <alignment horizontal="center"/>
    </xf>
    <xf numFmtId="0" fontId="4" fillId="2" borderId="11" xfId="0" applyFont="1" applyFill="1" applyBorder="1" applyAlignment="1">
      <alignment/>
    </xf>
    <xf numFmtId="2" fontId="6" fillId="2" borderId="11" xfId="0" applyNumberFormat="1" applyFont="1" applyFill="1" applyBorder="1" applyAlignment="1">
      <alignment horizontal="center"/>
    </xf>
    <xf numFmtId="0" fontId="6" fillId="2" borderId="11" xfId="0" applyFont="1" applyFill="1" applyBorder="1" applyAlignment="1" applyProtection="1">
      <alignment horizontal="center"/>
      <protection/>
    </xf>
    <xf numFmtId="0" fontId="11" fillId="2" borderId="0" xfId="0" applyFont="1" applyFill="1" applyBorder="1" applyAlignment="1">
      <alignment horizontal="center"/>
    </xf>
    <xf numFmtId="0" fontId="9" fillId="2" borderId="0" xfId="0" applyFont="1" applyFill="1" applyBorder="1" applyAlignment="1">
      <alignment/>
    </xf>
    <xf numFmtId="0" fontId="9" fillId="2" borderId="0" xfId="0" applyFont="1" applyFill="1" applyBorder="1" applyAlignment="1" applyProtection="1">
      <alignment/>
      <protection/>
    </xf>
    <xf numFmtId="0" fontId="9" fillId="2" borderId="0" xfId="0" applyFont="1" applyFill="1" applyBorder="1" applyAlignment="1">
      <alignment horizontal="center"/>
    </xf>
    <xf numFmtId="0" fontId="9" fillId="2" borderId="0" xfId="0" applyFont="1" applyFill="1" applyAlignment="1" applyProtection="1">
      <alignment/>
      <protection/>
    </xf>
    <xf numFmtId="49" fontId="9" fillId="2" borderId="0" xfId="0" applyNumberFormat="1" applyFont="1" applyFill="1" applyAlignment="1" applyProtection="1">
      <alignment horizontal="center"/>
      <protection/>
    </xf>
    <xf numFmtId="0" fontId="9" fillId="2" borderId="0" xfId="0" applyFont="1" applyFill="1" applyBorder="1" applyAlignment="1" applyProtection="1">
      <alignment horizontal="center"/>
      <protection/>
    </xf>
    <xf numFmtId="0" fontId="13" fillId="2" borderId="0" xfId="0" applyFont="1" applyFill="1" applyBorder="1" applyAlignment="1">
      <alignment/>
    </xf>
    <xf numFmtId="2" fontId="9" fillId="2" borderId="0" xfId="0" applyNumberFormat="1" applyFont="1" applyFill="1" applyBorder="1" applyAlignment="1">
      <alignment horizontal="center"/>
    </xf>
    <xf numFmtId="2" fontId="9" fillId="2" borderId="0" xfId="0" applyNumberFormat="1" applyFont="1" applyFill="1" applyBorder="1" applyAlignment="1" applyProtection="1">
      <alignment horizontal="center"/>
      <protection/>
    </xf>
    <xf numFmtId="0" fontId="13" fillId="2" borderId="0" xfId="0" applyFont="1" applyFill="1" applyBorder="1" applyAlignment="1" applyProtection="1">
      <alignment/>
      <protection/>
    </xf>
    <xf numFmtId="2" fontId="13" fillId="2" borderId="0" xfId="0" applyNumberFormat="1" applyFont="1" applyFill="1" applyBorder="1" applyAlignment="1" applyProtection="1">
      <alignment horizontal="center"/>
      <protection/>
    </xf>
    <xf numFmtId="0" fontId="11" fillId="2" borderId="0" xfId="0" applyFont="1" applyFill="1" applyAlignment="1" applyProtection="1">
      <alignment horizontal="center"/>
      <protection/>
    </xf>
    <xf numFmtId="0" fontId="11" fillId="2" borderId="0" xfId="0" applyFont="1" applyFill="1" applyBorder="1" applyAlignment="1" applyProtection="1">
      <alignment horizontal="center"/>
      <protection/>
    </xf>
    <xf numFmtId="2" fontId="11" fillId="2" borderId="0" xfId="0" applyNumberFormat="1" applyFont="1" applyFill="1" applyBorder="1" applyAlignment="1" applyProtection="1">
      <alignment horizontal="center"/>
      <protection/>
    </xf>
    <xf numFmtId="49" fontId="9" fillId="2" borderId="0" xfId="0" applyNumberFormat="1" applyFont="1" applyFill="1" applyBorder="1" applyAlignment="1" applyProtection="1">
      <alignment horizontal="center"/>
      <protection/>
    </xf>
    <xf numFmtId="0" fontId="8" fillId="0" borderId="0" xfId="0" applyFont="1" applyBorder="1" applyAlignment="1">
      <alignment/>
    </xf>
    <xf numFmtId="0" fontId="8" fillId="0" borderId="0" xfId="0" applyFont="1" applyBorder="1" applyAlignment="1" applyProtection="1">
      <alignment horizontal="center"/>
      <protection/>
    </xf>
    <xf numFmtId="0" fontId="11" fillId="0" borderId="0" xfId="0" applyFont="1" applyAlignment="1">
      <alignment/>
    </xf>
    <xf numFmtId="0" fontId="4" fillId="0" borderId="0" xfId="0" applyFont="1" applyBorder="1" applyAlignment="1">
      <alignment/>
    </xf>
    <xf numFmtId="14" fontId="6" fillId="0" borderId="0" xfId="0" applyNumberFormat="1" applyFont="1" applyBorder="1" applyAlignment="1" applyProtection="1">
      <alignment horizontal="left"/>
      <protection/>
    </xf>
    <xf numFmtId="0" fontId="6" fillId="0" borderId="0" xfId="0" applyFont="1" applyBorder="1" applyAlignment="1">
      <alignment/>
    </xf>
    <xf numFmtId="0" fontId="6" fillId="2" borderId="0" xfId="0" applyFont="1" applyFill="1" applyBorder="1" applyAlignment="1" applyProtection="1">
      <alignment/>
      <protection locked="0"/>
    </xf>
    <xf numFmtId="0" fontId="8" fillId="0" borderId="0" xfId="0" applyFont="1" applyBorder="1" applyAlignment="1" applyProtection="1" quotePrefix="1">
      <alignment horizontal="center"/>
      <protection/>
    </xf>
    <xf numFmtId="39" fontId="6" fillId="2" borderId="0" xfId="0" applyNumberFormat="1" applyFont="1" applyFill="1" applyBorder="1" applyAlignment="1" applyProtection="1">
      <alignment horizontal="center"/>
      <protection/>
    </xf>
    <xf numFmtId="170" fontId="6" fillId="2" borderId="0" xfId="0" applyNumberFormat="1" applyFont="1" applyFill="1" applyBorder="1" applyAlignment="1" applyProtection="1">
      <alignment horizontal="center"/>
      <protection/>
    </xf>
    <xf numFmtId="1" fontId="6" fillId="0" borderId="0" xfId="0" applyNumberFormat="1" applyFont="1" applyBorder="1" applyAlignment="1">
      <alignment horizontal="center"/>
    </xf>
    <xf numFmtId="0" fontId="12" fillId="0" borderId="41" xfId="0" applyFont="1" applyBorder="1" applyAlignment="1" applyProtection="1">
      <alignment/>
      <protection/>
    </xf>
    <xf numFmtId="0" fontId="6" fillId="0" borderId="12" xfId="0" applyFont="1" applyBorder="1" applyAlignment="1" applyProtection="1">
      <alignment/>
      <protection/>
    </xf>
    <xf numFmtId="0" fontId="6" fillId="0" borderId="6" xfId="0" applyFont="1" applyBorder="1" applyAlignment="1" applyProtection="1">
      <alignment/>
      <protection/>
    </xf>
    <xf numFmtId="0" fontId="6" fillId="0" borderId="12" xfId="0" applyFont="1" applyBorder="1" applyAlignment="1" applyProtection="1">
      <alignment horizontal="center"/>
      <protection/>
    </xf>
    <xf numFmtId="0" fontId="6" fillId="0" borderId="3" xfId="0" applyFont="1" applyBorder="1" applyAlignment="1" applyProtection="1">
      <alignment/>
      <protection/>
    </xf>
    <xf numFmtId="0" fontId="4" fillId="0" borderId="0" xfId="0" applyFont="1" applyBorder="1" applyAlignment="1" applyProtection="1">
      <alignment/>
      <protection/>
    </xf>
    <xf numFmtId="0" fontId="6" fillId="0" borderId="8" xfId="0" applyFont="1" applyBorder="1" applyAlignment="1" applyProtection="1">
      <alignment horizontal="center"/>
      <protection/>
    </xf>
    <xf numFmtId="0" fontId="6" fillId="0" borderId="0" xfId="0" applyFont="1" applyAlignment="1" applyProtection="1">
      <alignment horizontal="center"/>
      <protection/>
    </xf>
    <xf numFmtId="0" fontId="6" fillId="0" borderId="13" xfId="0" applyFont="1" applyBorder="1" applyAlignment="1" applyProtection="1">
      <alignment horizontal="center"/>
      <protection/>
    </xf>
    <xf numFmtId="0" fontId="6" fillId="0" borderId="5"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5" xfId="0" applyFont="1" applyBorder="1" applyAlignment="1" applyProtection="1">
      <alignment horizontal="center"/>
      <protection/>
    </xf>
    <xf numFmtId="0" fontId="23" fillId="0" borderId="0" xfId="0" applyFont="1" applyAlignment="1">
      <alignment/>
    </xf>
    <xf numFmtId="0" fontId="6" fillId="0" borderId="14" xfId="0" applyFont="1" applyBorder="1" applyAlignment="1" applyProtection="1">
      <alignment horizontal="center"/>
      <protection/>
    </xf>
    <xf numFmtId="0" fontId="6" fillId="0" borderId="81" xfId="0" applyFont="1" applyBorder="1" applyAlignment="1" applyProtection="1">
      <alignment horizontal="center"/>
      <protection/>
    </xf>
    <xf numFmtId="0" fontId="6" fillId="0" borderId="82" xfId="0" applyFont="1" applyBorder="1" applyAlignment="1" applyProtection="1">
      <alignment horizontal="center"/>
      <protection/>
    </xf>
    <xf numFmtId="0" fontId="8" fillId="0" borderId="11" xfId="0" applyFont="1" applyBorder="1" applyAlignment="1">
      <alignment horizontal="right"/>
    </xf>
    <xf numFmtId="0" fontId="8" fillId="0" borderId="11" xfId="0" applyFont="1" applyBorder="1" applyAlignment="1">
      <alignment horizontal="center"/>
    </xf>
    <xf numFmtId="37" fontId="6" fillId="3" borderId="38" xfId="0" applyNumberFormat="1" applyFont="1" applyFill="1" applyBorder="1" applyAlignment="1" applyProtection="1">
      <alignment horizontal="center"/>
      <protection locked="0"/>
    </xf>
    <xf numFmtId="2" fontId="6" fillId="3" borderId="31" xfId="0" applyNumberFormat="1" applyFont="1" applyFill="1" applyBorder="1" applyAlignment="1" applyProtection="1">
      <alignment horizontal="center"/>
      <protection locked="0"/>
    </xf>
    <xf numFmtId="37" fontId="6" fillId="3" borderId="77" xfId="0" applyNumberFormat="1" applyFont="1" applyFill="1" applyBorder="1" applyAlignment="1" applyProtection="1">
      <alignment horizontal="center"/>
      <protection locked="0"/>
    </xf>
    <xf numFmtId="9" fontId="6" fillId="3" borderId="77" xfId="0" applyNumberFormat="1" applyFont="1" applyFill="1" applyBorder="1" applyAlignment="1" applyProtection="1">
      <alignment horizontal="center"/>
      <protection locked="0"/>
    </xf>
    <xf numFmtId="9" fontId="6" fillId="3" borderId="26" xfId="0" applyNumberFormat="1" applyFont="1" applyFill="1" applyBorder="1" applyAlignment="1" applyProtection="1">
      <alignment horizontal="center"/>
      <protection locked="0"/>
    </xf>
    <xf numFmtId="0" fontId="24" fillId="8" borderId="12" xfId="0" applyFont="1" applyFill="1" applyBorder="1" applyAlignment="1">
      <alignment/>
    </xf>
    <xf numFmtId="1" fontId="6" fillId="0" borderId="13" xfId="0" applyNumberFormat="1" applyFont="1" applyBorder="1" applyAlignment="1">
      <alignment horizontal="center"/>
    </xf>
    <xf numFmtId="1" fontId="6" fillId="8" borderId="13" xfId="0" applyNumberFormat="1" applyFont="1" applyFill="1" applyBorder="1" applyAlignment="1">
      <alignment horizontal="center"/>
    </xf>
    <xf numFmtId="1" fontId="6" fillId="0" borderId="9" xfId="0" applyNumberFormat="1" applyFont="1" applyBorder="1" applyAlignment="1">
      <alignment horizontal="center"/>
    </xf>
    <xf numFmtId="37" fontId="6" fillId="3" borderId="31" xfId="0" applyNumberFormat="1" applyFont="1" applyFill="1" applyBorder="1" applyAlignment="1" applyProtection="1">
      <alignment horizontal="center"/>
      <protection locked="0"/>
    </xf>
    <xf numFmtId="9" fontId="6" fillId="3" borderId="31" xfId="0" applyNumberFormat="1" applyFont="1" applyFill="1" applyBorder="1" applyAlignment="1" applyProtection="1">
      <alignment horizontal="center"/>
      <protection locked="0"/>
    </xf>
    <xf numFmtId="0" fontId="25" fillId="8" borderId="13" xfId="0" applyFont="1" applyFill="1" applyBorder="1" applyAlignment="1">
      <alignment/>
    </xf>
    <xf numFmtId="37" fontId="6" fillId="3" borderId="18" xfId="0" applyNumberFormat="1" applyFont="1" applyFill="1" applyBorder="1" applyAlignment="1" applyProtection="1">
      <alignment horizontal="center"/>
      <protection locked="0"/>
    </xf>
    <xf numFmtId="2" fontId="6" fillId="3" borderId="44" xfId="0" applyNumberFormat="1" applyFont="1" applyFill="1" applyBorder="1" applyAlignment="1" applyProtection="1">
      <alignment horizontal="center"/>
      <protection locked="0"/>
    </xf>
    <xf numFmtId="37" fontId="6" fillId="3" borderId="44" xfId="0" applyNumberFormat="1" applyFont="1" applyFill="1" applyBorder="1" applyAlignment="1" applyProtection="1">
      <alignment horizontal="center"/>
      <protection locked="0"/>
    </xf>
    <xf numFmtId="9" fontId="6" fillId="3" borderId="44" xfId="0" applyNumberFormat="1" applyFont="1" applyFill="1" applyBorder="1" applyAlignment="1" applyProtection="1">
      <alignment horizontal="center"/>
      <protection locked="0"/>
    </xf>
    <xf numFmtId="9" fontId="6" fillId="3" borderId="35" xfId="0" applyNumberFormat="1" applyFont="1" applyFill="1" applyBorder="1" applyAlignment="1" applyProtection="1">
      <alignment horizontal="center"/>
      <protection locked="0"/>
    </xf>
    <xf numFmtId="0" fontId="9" fillId="0" borderId="12" xfId="0" applyFont="1" applyBorder="1" applyAlignment="1" applyProtection="1">
      <alignment horizontal="center"/>
      <protection/>
    </xf>
    <xf numFmtId="0" fontId="6" fillId="0" borderId="4" xfId="0" applyFont="1" applyBorder="1" applyAlignment="1" applyProtection="1">
      <alignment/>
      <protection/>
    </xf>
    <xf numFmtId="0" fontId="9" fillId="0" borderId="41" xfId="0" applyFont="1" applyBorder="1" applyAlignment="1" applyProtection="1">
      <alignment horizontal="center"/>
      <protection/>
    </xf>
    <xf numFmtId="0" fontId="9" fillId="0" borderId="8" xfId="0" applyFont="1" applyBorder="1" applyAlignment="1" applyProtection="1">
      <alignment horizontal="center"/>
      <protection/>
    </xf>
    <xf numFmtId="0" fontId="9" fillId="0" borderId="3" xfId="0" applyFont="1" applyBorder="1" applyAlignment="1" applyProtection="1">
      <alignment/>
      <protection/>
    </xf>
    <xf numFmtId="0" fontId="9" fillId="0" borderId="6" xfId="0" applyFont="1" applyBorder="1" applyAlignment="1" applyProtection="1">
      <alignment/>
      <protection/>
    </xf>
    <xf numFmtId="0" fontId="9" fillId="0" borderId="8" xfId="0" applyFont="1" applyBorder="1" applyAlignment="1" applyProtection="1">
      <alignment/>
      <protection/>
    </xf>
    <xf numFmtId="0" fontId="25" fillId="8" borderId="5" xfId="0" applyFont="1" applyFill="1" applyBorder="1" applyAlignment="1">
      <alignment/>
    </xf>
    <xf numFmtId="0" fontId="4" fillId="8" borderId="14" xfId="0" applyFont="1" applyFill="1" applyBorder="1" applyAlignment="1">
      <alignment horizontal="center"/>
    </xf>
    <xf numFmtId="0" fontId="4" fillId="8" borderId="10" xfId="0" applyFont="1" applyFill="1" applyBorder="1" applyAlignment="1">
      <alignment horizontal="center"/>
    </xf>
    <xf numFmtId="1" fontId="6" fillId="8" borderId="10" xfId="0" applyNumberFormat="1" applyFont="1" applyFill="1" applyBorder="1" applyAlignment="1">
      <alignment horizontal="center"/>
    </xf>
    <xf numFmtId="1" fontId="6" fillId="8" borderId="14" xfId="0" applyNumberFormat="1" applyFont="1" applyFill="1" applyBorder="1" applyAlignment="1">
      <alignment horizontal="center"/>
    </xf>
    <xf numFmtId="0" fontId="6" fillId="0" borderId="9" xfId="0" applyFont="1" applyBorder="1" applyAlignment="1" applyProtection="1">
      <alignment horizontal="center"/>
      <protection/>
    </xf>
    <xf numFmtId="0" fontId="8" fillId="8" borderId="14" xfId="0" applyFont="1" applyFill="1" applyBorder="1" applyAlignment="1">
      <alignment horizontal="right"/>
    </xf>
    <xf numFmtId="1" fontId="8" fillId="8" borderId="14" xfId="0" applyNumberFormat="1" applyFont="1" applyFill="1" applyBorder="1" applyAlignment="1">
      <alignment horizontal="center"/>
    </xf>
    <xf numFmtId="1" fontId="8" fillId="8" borderId="11" xfId="0" applyNumberFormat="1" applyFont="1" applyFill="1" applyBorder="1" applyAlignment="1">
      <alignment horizontal="center"/>
    </xf>
    <xf numFmtId="0" fontId="26" fillId="0" borderId="14" xfId="0" applyFont="1" applyBorder="1" applyAlignment="1" applyProtection="1">
      <alignment horizontal="center"/>
      <protection/>
    </xf>
    <xf numFmtId="0" fontId="6" fillId="0" borderId="55" xfId="0" applyFont="1" applyBorder="1" applyAlignment="1" applyProtection="1">
      <alignment horizontal="center"/>
      <protection/>
    </xf>
    <xf numFmtId="0" fontId="4" fillId="8" borderId="12" xfId="0" applyFont="1" applyFill="1" applyBorder="1" applyAlignment="1">
      <alignment/>
    </xf>
    <xf numFmtId="1" fontId="6" fillId="8" borderId="12" xfId="0" applyNumberFormat="1" applyFont="1" applyFill="1" applyBorder="1" applyAlignment="1">
      <alignment horizontal="center"/>
    </xf>
    <xf numFmtId="1" fontId="6" fillId="8" borderId="3" xfId="0" applyNumberFormat="1" applyFont="1" applyFill="1" applyBorder="1" applyAlignment="1">
      <alignment horizontal="center"/>
    </xf>
    <xf numFmtId="1" fontId="6" fillId="8" borderId="2" xfId="0" applyNumberFormat="1" applyFont="1" applyFill="1" applyBorder="1" applyAlignment="1">
      <alignment horizontal="center"/>
    </xf>
    <xf numFmtId="1" fontId="6" fillId="8" borderId="9" xfId="0" applyNumberFormat="1" applyFont="1" applyFill="1" applyBorder="1" applyAlignment="1">
      <alignment horizontal="center"/>
    </xf>
    <xf numFmtId="37" fontId="6" fillId="3" borderId="83" xfId="0" applyNumberFormat="1" applyFont="1" applyFill="1" applyBorder="1" applyAlignment="1" applyProtection="1">
      <alignment horizontal="center"/>
      <protection locked="0"/>
    </xf>
    <xf numFmtId="2" fontId="6" fillId="3" borderId="77" xfId="0" applyNumberFormat="1" applyFont="1" applyFill="1" applyBorder="1" applyAlignment="1" applyProtection="1">
      <alignment horizontal="center"/>
      <protection locked="0"/>
    </xf>
    <xf numFmtId="37" fontId="6" fillId="3" borderId="84" xfId="0" applyNumberFormat="1" applyFont="1" applyFill="1" applyBorder="1" applyAlignment="1" applyProtection="1">
      <alignment horizontal="center"/>
      <protection locked="0"/>
    </xf>
    <xf numFmtId="37" fontId="6" fillId="0" borderId="85" xfId="0" applyNumberFormat="1" applyFont="1" applyBorder="1" applyAlignment="1" applyProtection="1">
      <alignment/>
      <protection/>
    </xf>
    <xf numFmtId="37" fontId="6" fillId="0" borderId="84" xfId="0" applyNumberFormat="1" applyFont="1" applyBorder="1" applyAlignment="1" applyProtection="1">
      <alignment/>
      <protection/>
    </xf>
    <xf numFmtId="37" fontId="6" fillId="0" borderId="86" xfId="0" applyNumberFormat="1" applyFont="1" applyBorder="1" applyAlignment="1" applyProtection="1">
      <alignment/>
      <protection/>
    </xf>
    <xf numFmtId="0" fontId="4" fillId="8" borderId="2" xfId="0" applyFont="1" applyFill="1" applyBorder="1" applyAlignment="1">
      <alignment/>
    </xf>
    <xf numFmtId="37" fontId="6" fillId="0" borderId="30" xfId="0" applyNumberFormat="1" applyFont="1" applyBorder="1" applyAlignment="1" applyProtection="1">
      <alignment/>
      <protection/>
    </xf>
    <xf numFmtId="37" fontId="6" fillId="0" borderId="38" xfId="0" applyNumberFormat="1" applyFont="1" applyBorder="1" applyAlignment="1" applyProtection="1">
      <alignment/>
      <protection/>
    </xf>
    <xf numFmtId="0" fontId="4" fillId="8" borderId="13" xfId="0" applyFont="1" applyFill="1" applyBorder="1" applyAlignment="1">
      <alignment/>
    </xf>
    <xf numFmtId="37" fontId="6" fillId="3" borderId="39" xfId="0" applyNumberFormat="1" applyFont="1" applyFill="1" applyBorder="1" applyAlignment="1" applyProtection="1">
      <alignment horizontal="center"/>
      <protection locked="0"/>
    </xf>
    <xf numFmtId="2" fontId="6" fillId="3" borderId="35" xfId="0" applyNumberFormat="1" applyFont="1" applyFill="1" applyBorder="1" applyAlignment="1" applyProtection="1">
      <alignment horizontal="center"/>
      <protection locked="0"/>
    </xf>
    <xf numFmtId="37" fontId="6" fillId="3" borderId="35" xfId="0" applyNumberFormat="1" applyFont="1" applyFill="1" applyBorder="1" applyAlignment="1" applyProtection="1">
      <alignment horizontal="center"/>
      <protection locked="0"/>
    </xf>
    <xf numFmtId="37" fontId="6" fillId="0" borderId="34" xfId="0" applyNumberFormat="1" applyFont="1" applyBorder="1" applyAlignment="1" applyProtection="1">
      <alignment/>
      <protection/>
    </xf>
    <xf numFmtId="0" fontId="4" fillId="8" borderId="14" xfId="0" applyFont="1" applyFill="1" applyBorder="1" applyAlignment="1">
      <alignment/>
    </xf>
    <xf numFmtId="0" fontId="7" fillId="0" borderId="20" xfId="0" applyFont="1" applyBorder="1" applyAlignment="1" applyProtection="1">
      <alignment/>
      <protection/>
    </xf>
    <xf numFmtId="0" fontId="15" fillId="0" borderId="4" xfId="0" applyFont="1" applyBorder="1" applyAlignment="1" applyProtection="1">
      <alignment horizontal="center"/>
      <protection/>
    </xf>
    <xf numFmtId="37" fontId="6" fillId="0" borderId="81" xfId="0" applyNumberFormat="1" applyFont="1" applyBorder="1" applyAlignment="1" applyProtection="1">
      <alignment/>
      <protection/>
    </xf>
    <xf numFmtId="37" fontId="6" fillId="0" borderId="17" xfId="0" applyNumberFormat="1" applyFont="1" applyBorder="1" applyAlignment="1" applyProtection="1">
      <alignment/>
      <protection/>
    </xf>
    <xf numFmtId="37" fontId="6" fillId="0" borderId="16" xfId="0" applyNumberFormat="1" applyFont="1" applyBorder="1" applyAlignment="1" applyProtection="1">
      <alignment/>
      <protection/>
    </xf>
    <xf numFmtId="0" fontId="8" fillId="8" borderId="4" xfId="0" applyFont="1" applyFill="1" applyBorder="1" applyAlignment="1">
      <alignment horizontal="right"/>
    </xf>
    <xf numFmtId="0" fontId="6" fillId="8" borderId="5" xfId="0" applyFont="1" applyFill="1" applyBorder="1" applyAlignment="1">
      <alignment horizontal="center"/>
    </xf>
    <xf numFmtId="0" fontId="6" fillId="8" borderId="14" xfId="0" applyFont="1" applyFill="1" applyBorder="1" applyAlignment="1">
      <alignment horizontal="center"/>
    </xf>
    <xf numFmtId="1" fontId="6" fillId="8" borderId="55" xfId="0" applyNumberFormat="1" applyFont="1" applyFill="1" applyBorder="1" applyAlignment="1">
      <alignment horizontal="center"/>
    </xf>
    <xf numFmtId="1" fontId="6" fillId="8" borderId="11" xfId="0" applyNumberFormat="1" applyFont="1" applyFill="1" applyBorder="1" applyAlignment="1">
      <alignment horizontal="center"/>
    </xf>
    <xf numFmtId="0" fontId="8" fillId="9" borderId="11" xfId="0" applyFont="1" applyFill="1" applyBorder="1" applyAlignment="1">
      <alignment horizontal="right"/>
    </xf>
    <xf numFmtId="1" fontId="8" fillId="9" borderId="14" xfId="0" applyNumberFormat="1" applyFont="1" applyFill="1" applyBorder="1" applyAlignment="1">
      <alignment horizontal="center"/>
    </xf>
    <xf numFmtId="1" fontId="8" fillId="9" borderId="11" xfId="0" applyNumberFormat="1" applyFont="1" applyFill="1" applyBorder="1" applyAlignment="1">
      <alignment horizontal="center"/>
    </xf>
    <xf numFmtId="1" fontId="11" fillId="9" borderId="11" xfId="0" applyNumberFormat="1" applyFont="1" applyFill="1" applyBorder="1" applyAlignment="1">
      <alignment horizontal="center"/>
    </xf>
    <xf numFmtId="0" fontId="9" fillId="0" borderId="0" xfId="0" applyFont="1" applyBorder="1" applyAlignment="1">
      <alignment/>
    </xf>
    <xf numFmtId="0" fontId="6" fillId="0" borderId="41" xfId="0" applyFont="1" applyBorder="1" applyAlignment="1" applyProtection="1">
      <alignment horizontal="center"/>
      <protection/>
    </xf>
    <xf numFmtId="0" fontId="4" fillId="0" borderId="3" xfId="0" applyFont="1" applyBorder="1" applyAlignment="1" applyProtection="1">
      <alignment/>
      <protection/>
    </xf>
    <xf numFmtId="0" fontId="4" fillId="0" borderId="6" xfId="0" applyFont="1" applyBorder="1" applyAlignment="1" applyProtection="1">
      <alignment/>
      <protection/>
    </xf>
    <xf numFmtId="3" fontId="6" fillId="0" borderId="12" xfId="0" applyNumberFormat="1" applyFont="1" applyBorder="1" applyAlignment="1" applyProtection="1">
      <alignment horizontal="center"/>
      <protection/>
    </xf>
    <xf numFmtId="0" fontId="6" fillId="2" borderId="5" xfId="0" applyFont="1" applyFill="1" applyBorder="1" applyAlignment="1" applyProtection="1">
      <alignment horizontal="left"/>
      <protection/>
    </xf>
    <xf numFmtId="0" fontId="10" fillId="2" borderId="10" xfId="0" applyFont="1" applyFill="1" applyBorder="1" applyAlignment="1" applyProtection="1">
      <alignment/>
      <protection/>
    </xf>
    <xf numFmtId="0" fontId="6" fillId="0" borderId="14" xfId="0" applyFont="1" applyBorder="1" applyAlignment="1" applyProtection="1">
      <alignment/>
      <protection/>
    </xf>
    <xf numFmtId="0" fontId="6" fillId="0" borderId="21" xfId="0" applyFont="1" applyBorder="1" applyAlignment="1" applyProtection="1">
      <alignment/>
      <protection/>
    </xf>
    <xf numFmtId="0" fontId="6" fillId="0" borderId="7" xfId="0" applyFont="1" applyBorder="1" applyAlignment="1" applyProtection="1">
      <alignment/>
      <protection/>
    </xf>
    <xf numFmtId="0" fontId="6" fillId="2" borderId="2" xfId="0" applyFont="1" applyFill="1" applyBorder="1" applyAlignment="1" applyProtection="1">
      <alignment/>
      <protection/>
    </xf>
    <xf numFmtId="0" fontId="12" fillId="2" borderId="0" xfId="0" applyFont="1" applyFill="1" applyBorder="1" applyAlignment="1" applyProtection="1">
      <alignment/>
      <protection/>
    </xf>
    <xf numFmtId="1" fontId="6" fillId="3" borderId="11" xfId="0" applyNumberFormat="1" applyFont="1" applyFill="1" applyBorder="1" applyAlignment="1" applyProtection="1">
      <alignment horizontal="center"/>
      <protection locked="0"/>
    </xf>
    <xf numFmtId="2" fontId="6" fillId="3" borderId="14" xfId="0" applyNumberFormat="1" applyFont="1" applyFill="1" applyBorder="1" applyAlignment="1" applyProtection="1">
      <alignment horizontal="center"/>
      <protection locked="0"/>
    </xf>
    <xf numFmtId="9" fontId="6" fillId="3" borderId="0" xfId="0" applyNumberFormat="1" applyFont="1" applyFill="1" applyBorder="1" applyAlignment="1" applyProtection="1">
      <alignment horizontal="center"/>
      <protection locked="0"/>
    </xf>
    <xf numFmtId="9" fontId="6" fillId="3" borderId="11" xfId="0" applyNumberFormat="1" applyFont="1" applyFill="1" applyBorder="1" applyAlignment="1" applyProtection="1">
      <alignment horizontal="center"/>
      <protection locked="0"/>
    </xf>
    <xf numFmtId="3" fontId="6" fillId="2" borderId="14" xfId="0" applyNumberFormat="1" applyFont="1" applyFill="1" applyBorder="1" applyAlignment="1" applyProtection="1">
      <alignment horizontal="center"/>
      <protection/>
    </xf>
    <xf numFmtId="0" fontId="6" fillId="0" borderId="4" xfId="0" applyFont="1" applyBorder="1" applyAlignment="1" applyProtection="1">
      <alignment horizontal="left"/>
      <protection/>
    </xf>
    <xf numFmtId="0" fontId="6" fillId="0" borderId="41" xfId="0" applyFont="1" applyBorder="1" applyAlignment="1" applyProtection="1">
      <alignment horizontal="left"/>
      <protection/>
    </xf>
    <xf numFmtId="0" fontId="8" fillId="0" borderId="20" xfId="0" applyFont="1" applyBorder="1" applyAlignment="1" applyProtection="1">
      <alignment/>
      <protection/>
    </xf>
    <xf numFmtId="0" fontId="12" fillId="0" borderId="41" xfId="0" applyFont="1" applyBorder="1" applyAlignment="1" applyProtection="1">
      <alignment/>
      <protection/>
    </xf>
    <xf numFmtId="0" fontId="4" fillId="0" borderId="55" xfId="0" applyFont="1" applyBorder="1" applyAlignment="1" applyProtection="1">
      <alignment/>
      <protection/>
    </xf>
    <xf numFmtId="0" fontId="4" fillId="0" borderId="41" xfId="0" applyFont="1" applyBorder="1" applyAlignment="1" applyProtection="1">
      <alignment/>
      <protection/>
    </xf>
    <xf numFmtId="0" fontId="6" fillId="0" borderId="5" xfId="0" applyFont="1" applyBorder="1" applyAlignment="1" applyProtection="1">
      <alignment/>
      <protection/>
    </xf>
    <xf numFmtId="0" fontId="6" fillId="0" borderId="15" xfId="0" applyFont="1" applyBorder="1" applyAlignment="1" applyProtection="1">
      <alignment/>
      <protection/>
    </xf>
    <xf numFmtId="0" fontId="6" fillId="2" borderId="5" xfId="0" applyFont="1" applyFill="1" applyBorder="1" applyAlignment="1" applyProtection="1">
      <alignment/>
      <protection/>
    </xf>
    <xf numFmtId="0" fontId="7" fillId="2" borderId="41" xfId="0" applyFont="1" applyFill="1" applyBorder="1" applyAlignment="1" applyProtection="1">
      <alignment/>
      <protection/>
    </xf>
    <xf numFmtId="0" fontId="4" fillId="0" borderId="10" xfId="0" applyFont="1" applyBorder="1" applyAlignment="1" applyProtection="1">
      <alignment/>
      <protection/>
    </xf>
    <xf numFmtId="0" fontId="9" fillId="0" borderId="3" xfId="0" applyFont="1" applyBorder="1" applyAlignment="1" applyProtection="1">
      <alignment horizontal="center"/>
      <protection/>
    </xf>
    <xf numFmtId="0" fontId="9" fillId="0" borderId="2" xfId="0" applyFont="1" applyBorder="1" applyAlignment="1" applyProtection="1">
      <alignment horizontal="center"/>
      <protection/>
    </xf>
    <xf numFmtId="2" fontId="9" fillId="0" borderId="0" xfId="0" applyNumberFormat="1" applyFont="1" applyBorder="1" applyAlignment="1">
      <alignment horizontal="center"/>
    </xf>
    <xf numFmtId="0" fontId="12" fillId="0" borderId="10" xfId="0" applyFont="1" applyBorder="1" applyAlignment="1" applyProtection="1">
      <alignment/>
      <protection/>
    </xf>
    <xf numFmtId="0" fontId="9" fillId="0" borderId="4" xfId="0" applyFont="1" applyBorder="1" applyAlignment="1" applyProtection="1">
      <alignment horizontal="center"/>
      <protection/>
    </xf>
    <xf numFmtId="37" fontId="6" fillId="0" borderId="87" xfId="0" applyNumberFormat="1" applyFont="1" applyBorder="1" applyAlignment="1" applyProtection="1">
      <alignment/>
      <protection/>
    </xf>
    <xf numFmtId="0" fontId="9" fillId="3" borderId="33" xfId="0" applyFont="1" applyFill="1" applyBorder="1" applyAlignment="1" applyProtection="1">
      <alignment horizontal="center"/>
      <protection locked="0"/>
    </xf>
    <xf numFmtId="37" fontId="6" fillId="2" borderId="35" xfId="0" applyNumberFormat="1" applyFont="1" applyFill="1" applyBorder="1" applyAlignment="1" applyProtection="1">
      <alignment/>
      <protection/>
    </xf>
    <xf numFmtId="0" fontId="6" fillId="0" borderId="55" xfId="0" applyFont="1" applyBorder="1" applyAlignment="1" applyProtection="1">
      <alignment/>
      <protection/>
    </xf>
    <xf numFmtId="9" fontId="6" fillId="2" borderId="55" xfId="0" applyNumberFormat="1" applyFont="1" applyFill="1" applyBorder="1" applyAlignment="1" applyProtection="1">
      <alignment horizontal="center"/>
      <protection/>
    </xf>
    <xf numFmtId="0" fontId="27" fillId="2" borderId="28" xfId="0" applyFont="1" applyFill="1" applyBorder="1" applyAlignment="1" applyProtection="1">
      <alignment/>
      <protection/>
    </xf>
    <xf numFmtId="0" fontId="27" fillId="2" borderId="29" xfId="0" applyFont="1" applyFill="1" applyBorder="1" applyAlignment="1" applyProtection="1">
      <alignment/>
      <protection/>
    </xf>
    <xf numFmtId="0" fontId="27" fillId="2" borderId="48" xfId="0" applyFont="1" applyFill="1" applyBorder="1" applyAlignment="1" applyProtection="1">
      <alignment/>
      <protection/>
    </xf>
    <xf numFmtId="0" fontId="7" fillId="0" borderId="10" xfId="0" applyFont="1" applyBorder="1" applyAlignment="1" applyProtection="1">
      <alignment/>
      <protection/>
    </xf>
    <xf numFmtId="1" fontId="6" fillId="0" borderId="15" xfId="0" applyNumberFormat="1" applyFont="1" applyBorder="1" applyAlignment="1" applyProtection="1">
      <alignment horizontal="center"/>
      <protection/>
    </xf>
    <xf numFmtId="0" fontId="7" fillId="0" borderId="28" xfId="0" applyFont="1" applyBorder="1" applyAlignment="1" applyProtection="1">
      <alignment/>
      <protection/>
    </xf>
    <xf numFmtId="0" fontId="7" fillId="0" borderId="29" xfId="0" applyFont="1" applyBorder="1" applyAlignment="1" applyProtection="1">
      <alignment/>
      <protection/>
    </xf>
    <xf numFmtId="0" fontId="12" fillId="0" borderId="40" xfId="0" applyFont="1" applyBorder="1" applyAlignment="1" applyProtection="1">
      <alignment/>
      <protection/>
    </xf>
    <xf numFmtId="0" fontId="6" fillId="0" borderId="0" xfId="0" applyNumberFormat="1" applyFont="1" applyBorder="1" applyAlignment="1">
      <alignment/>
    </xf>
    <xf numFmtId="0" fontId="12" fillId="2" borderId="28" xfId="0" applyFont="1" applyFill="1" applyBorder="1" applyAlignment="1" applyProtection="1">
      <alignment/>
      <protection/>
    </xf>
    <xf numFmtId="0" fontId="12" fillId="2" borderId="29" xfId="0" applyFont="1" applyFill="1" applyBorder="1" applyAlignment="1" applyProtection="1">
      <alignment/>
      <protection/>
    </xf>
    <xf numFmtId="0" fontId="12" fillId="2" borderId="48" xfId="0" applyFont="1" applyFill="1" applyBorder="1" applyAlignment="1" applyProtection="1">
      <alignment/>
      <protection/>
    </xf>
    <xf numFmtId="1" fontId="6" fillId="0" borderId="11" xfId="0" applyNumberFormat="1" applyFont="1" applyBorder="1" applyAlignment="1" applyProtection="1">
      <alignment horizontal="center"/>
      <protection/>
    </xf>
    <xf numFmtId="169" fontId="6" fillId="3" borderId="11" xfId="0" applyNumberFormat="1" applyFont="1" applyFill="1" applyBorder="1" applyAlignment="1" applyProtection="1">
      <alignment horizontal="center"/>
      <protection locked="0"/>
    </xf>
    <xf numFmtId="0" fontId="9" fillId="0" borderId="11" xfId="0" applyFont="1" applyBorder="1" applyAlignment="1" applyProtection="1">
      <alignment/>
      <protection/>
    </xf>
    <xf numFmtId="1" fontId="9" fillId="0" borderId="11" xfId="0" applyNumberFormat="1" applyFont="1" applyBorder="1" applyAlignment="1" applyProtection="1">
      <alignment horizontal="center"/>
      <protection/>
    </xf>
    <xf numFmtId="0" fontId="6" fillId="0" borderId="10" xfId="0" applyFont="1" applyBorder="1" applyAlignment="1" applyProtection="1">
      <alignment/>
      <protection/>
    </xf>
    <xf numFmtId="0" fontId="6" fillId="0" borderId="0" xfId="0" applyNumberFormat="1" applyFont="1" applyBorder="1" applyAlignment="1">
      <alignment/>
    </xf>
    <xf numFmtId="0" fontId="11" fillId="2" borderId="12" xfId="0" applyFont="1" applyFill="1" applyBorder="1" applyAlignment="1">
      <alignment horizontal="center"/>
    </xf>
    <xf numFmtId="0" fontId="11" fillId="2" borderId="13" xfId="0" applyFont="1" applyFill="1" applyBorder="1" applyAlignment="1">
      <alignment horizontal="center"/>
    </xf>
    <xf numFmtId="0" fontId="11" fillId="2" borderId="14" xfId="0" applyFont="1" applyFill="1" applyBorder="1" applyAlignment="1">
      <alignment horizontal="center"/>
    </xf>
    <xf numFmtId="0" fontId="9" fillId="0" borderId="11" xfId="0" applyFont="1" applyBorder="1" applyAlignment="1">
      <alignment horizontal="center"/>
    </xf>
    <xf numFmtId="0" fontId="11" fillId="0" borderId="0" xfId="0" applyFont="1" applyAlignment="1">
      <alignment horizontal="right"/>
    </xf>
    <xf numFmtId="0" fontId="11" fillId="0" borderId="0" xfId="0" applyFont="1" applyBorder="1" applyAlignment="1">
      <alignment horizontal="right"/>
    </xf>
    <xf numFmtId="39" fontId="6" fillId="2" borderId="39" xfId="0" applyNumberFormat="1" applyFont="1" applyFill="1" applyBorder="1" applyAlignment="1" applyProtection="1">
      <alignment horizontal="center"/>
      <protection/>
    </xf>
    <xf numFmtId="0" fontId="28" fillId="0" borderId="3" xfId="0" applyFont="1" applyBorder="1" applyAlignment="1" applyProtection="1">
      <alignment horizontal="center"/>
      <protection/>
    </xf>
    <xf numFmtId="0" fontId="28" fillId="0" borderId="5" xfId="0" applyFont="1" applyBorder="1" applyAlignment="1" applyProtection="1">
      <alignment horizontal="center"/>
      <protection/>
    </xf>
    <xf numFmtId="169" fontId="6" fillId="2" borderId="31" xfId="0" applyNumberFormat="1" applyFont="1" applyFill="1" applyBorder="1" applyAlignment="1" applyProtection="1">
      <alignment horizontal="center"/>
      <protection/>
    </xf>
    <xf numFmtId="169" fontId="6" fillId="2" borderId="35" xfId="0" applyNumberFormat="1" applyFont="1" applyFill="1" applyBorder="1" applyAlignment="1" applyProtection="1">
      <alignment horizontal="center"/>
      <protection/>
    </xf>
    <xf numFmtId="1" fontId="6" fillId="7" borderId="32" xfId="0" applyNumberFormat="1" applyFont="1" applyFill="1" applyBorder="1" applyAlignment="1" applyProtection="1">
      <alignment horizontal="center"/>
      <protection/>
    </xf>
    <xf numFmtId="1" fontId="6" fillId="7" borderId="36" xfId="0" applyNumberFormat="1" applyFont="1" applyFill="1" applyBorder="1" applyAlignment="1" applyProtection="1">
      <alignment horizontal="center"/>
      <protection/>
    </xf>
    <xf numFmtId="0" fontId="28" fillId="0" borderId="2" xfId="0" applyFont="1" applyBorder="1" applyAlignment="1" applyProtection="1">
      <alignment horizontal="center"/>
      <protection/>
    </xf>
    <xf numFmtId="0" fontId="29" fillId="0" borderId="12" xfId="0" applyFont="1" applyBorder="1" applyAlignment="1" applyProtection="1">
      <alignment horizontal="center"/>
      <protection/>
    </xf>
    <xf numFmtId="0" fontId="28" fillId="0" borderId="13" xfId="0" applyFont="1" applyBorder="1" applyAlignment="1" applyProtection="1">
      <alignment horizontal="center"/>
      <protection/>
    </xf>
    <xf numFmtId="0" fontId="28" fillId="0" borderId="14" xfId="0" applyFont="1" applyBorder="1" applyAlignment="1" applyProtection="1">
      <alignment horizontal="center"/>
      <protection/>
    </xf>
    <xf numFmtId="0" fontId="28" fillId="0" borderId="3" xfId="0" applyFont="1" applyBorder="1" applyAlignment="1" applyProtection="1">
      <alignment horizontal="centerContinuous"/>
      <protection/>
    </xf>
    <xf numFmtId="0" fontId="28" fillId="0" borderId="2" xfId="0" applyFont="1" applyBorder="1" applyAlignment="1" applyProtection="1">
      <alignment horizontal="centerContinuous"/>
      <protection/>
    </xf>
    <xf numFmtId="0" fontId="4" fillId="0" borderId="55" xfId="0" applyFont="1" applyBorder="1" applyAlignment="1">
      <alignment/>
    </xf>
    <xf numFmtId="1" fontId="6" fillId="0" borderId="14" xfId="0" applyNumberFormat="1" applyFont="1" applyBorder="1" applyAlignment="1" applyProtection="1">
      <alignment horizontal="center"/>
      <protection/>
    </xf>
    <xf numFmtId="0" fontId="4" fillId="0" borderId="10" xfId="0" applyFont="1" applyBorder="1" applyAlignment="1">
      <alignment/>
    </xf>
    <xf numFmtId="3" fontId="6" fillId="3" borderId="11" xfId="0" applyNumberFormat="1" applyFont="1" applyFill="1" applyBorder="1" applyAlignment="1" applyProtection="1">
      <alignment horizontal="center"/>
      <protection locked="0"/>
    </xf>
    <xf numFmtId="0" fontId="11" fillId="2" borderId="0" xfId="0" applyFont="1" applyFill="1" applyAlignment="1">
      <alignment horizontal="center"/>
    </xf>
    <xf numFmtId="0" fontId="11" fillId="2" borderId="0" xfId="0" applyFont="1" applyFill="1" applyAlignment="1">
      <alignment horizontal="right"/>
    </xf>
    <xf numFmtId="0" fontId="11" fillId="2" borderId="0" xfId="0" applyFont="1" applyFill="1" applyAlignment="1" applyProtection="1">
      <alignment horizontal="right"/>
      <protection/>
    </xf>
    <xf numFmtId="1" fontId="9" fillId="2" borderId="0" xfId="0" applyNumberFormat="1" applyFont="1" applyFill="1" applyBorder="1" applyAlignment="1" applyProtection="1">
      <alignment horizontal="center"/>
      <protection locked="0"/>
    </xf>
    <xf numFmtId="1" fontId="6" fillId="7" borderId="42" xfId="0" applyNumberFormat="1" applyFont="1" applyFill="1" applyBorder="1" applyAlignment="1" applyProtection="1">
      <alignment horizontal="center"/>
      <protection/>
    </xf>
    <xf numFmtId="1" fontId="6" fillId="7" borderId="45" xfId="0" applyNumberFormat="1" applyFont="1" applyFill="1" applyBorder="1" applyAlignment="1" applyProtection="1">
      <alignment horizontal="center"/>
      <protection/>
    </xf>
    <xf numFmtId="0" fontId="6" fillId="2" borderId="12" xfId="0" applyFont="1" applyFill="1" applyBorder="1" applyAlignment="1">
      <alignment horizontal="center"/>
    </xf>
    <xf numFmtId="0" fontId="6" fillId="2" borderId="13" xfId="0" applyFont="1" applyFill="1" applyBorder="1" applyAlignment="1">
      <alignment horizontal="center"/>
    </xf>
    <xf numFmtId="0" fontId="10" fillId="2" borderId="10" xfId="0" applyFont="1" applyFill="1" applyBorder="1" applyAlignment="1">
      <alignment/>
    </xf>
    <xf numFmtId="1" fontId="6" fillId="7" borderId="43" xfId="0" applyNumberFormat="1" applyFont="1" applyFill="1" applyBorder="1" applyAlignment="1" applyProtection="1">
      <alignment horizontal="center"/>
      <protection/>
    </xf>
    <xf numFmtId="3" fontId="6" fillId="7" borderId="42" xfId="0" applyNumberFormat="1" applyFont="1" applyFill="1" applyBorder="1" applyAlignment="1" applyProtection="1">
      <alignment horizontal="center"/>
      <protection/>
    </xf>
    <xf numFmtId="3" fontId="6" fillId="7" borderId="27" xfId="0" applyNumberFormat="1" applyFont="1" applyFill="1" applyBorder="1" applyAlignment="1" applyProtection="1">
      <alignment horizontal="center"/>
      <protection/>
    </xf>
    <xf numFmtId="3" fontId="6" fillId="7" borderId="43" xfId="0" applyNumberFormat="1" applyFont="1" applyFill="1" applyBorder="1" applyAlignment="1" applyProtection="1">
      <alignment horizontal="center"/>
      <protection/>
    </xf>
    <xf numFmtId="3" fontId="6" fillId="7" borderId="45" xfId="0" applyNumberFormat="1" applyFont="1" applyFill="1" applyBorder="1" applyAlignment="1" applyProtection="1">
      <alignment horizontal="center"/>
      <protection/>
    </xf>
    <xf numFmtId="3" fontId="6" fillId="7" borderId="32" xfId="0" applyNumberFormat="1" applyFont="1" applyFill="1" applyBorder="1" applyAlignment="1" applyProtection="1">
      <alignment horizontal="center"/>
      <protection/>
    </xf>
    <xf numFmtId="3" fontId="6" fillId="7" borderId="36" xfId="0" applyNumberFormat="1" applyFont="1" applyFill="1" applyBorder="1" applyAlignment="1" applyProtection="1">
      <alignment horizontal="center"/>
      <protection/>
    </xf>
    <xf numFmtId="3" fontId="6" fillId="0" borderId="55" xfId="0" applyNumberFormat="1" applyFont="1" applyBorder="1" applyAlignment="1" applyProtection="1">
      <alignment horizontal="center"/>
      <protection/>
    </xf>
    <xf numFmtId="4" fontId="6" fillId="7" borderId="42" xfId="0" applyNumberFormat="1" applyFont="1" applyFill="1" applyBorder="1" applyAlignment="1" applyProtection="1">
      <alignment horizontal="center"/>
      <protection/>
    </xf>
    <xf numFmtId="4" fontId="6" fillId="7" borderId="43" xfId="0" applyNumberFormat="1" applyFont="1" applyFill="1" applyBorder="1" applyAlignment="1" applyProtection="1">
      <alignment horizontal="center"/>
      <protection/>
    </xf>
    <xf numFmtId="4" fontId="6" fillId="7" borderId="45" xfId="0" applyNumberFormat="1" applyFont="1" applyFill="1" applyBorder="1" applyAlignment="1" applyProtection="1">
      <alignment horizontal="center"/>
      <protection/>
    </xf>
    <xf numFmtId="0" fontId="8" fillId="2" borderId="0" xfId="0" applyFont="1" applyFill="1" applyBorder="1" applyAlignment="1">
      <alignment horizontal="right"/>
    </xf>
    <xf numFmtId="169" fontId="9" fillId="2" borderId="0" xfId="0" applyNumberFormat="1" applyFont="1" applyFill="1" applyAlignment="1" applyProtection="1">
      <alignment horizontal="center"/>
      <protection/>
    </xf>
    <xf numFmtId="37" fontId="6" fillId="7" borderId="42" xfId="0" applyNumberFormat="1" applyFont="1" applyFill="1" applyBorder="1" applyAlignment="1" applyProtection="1">
      <alignment horizontal="center"/>
      <protection/>
    </xf>
    <xf numFmtId="37" fontId="6" fillId="7" borderId="27" xfId="0" applyNumberFormat="1" applyFont="1" applyFill="1" applyBorder="1" applyAlignment="1" applyProtection="1">
      <alignment horizontal="center"/>
      <protection/>
    </xf>
    <xf numFmtId="37" fontId="6" fillId="7" borderId="43" xfId="0" applyNumberFormat="1" applyFont="1" applyFill="1" applyBorder="1" applyAlignment="1" applyProtection="1">
      <alignment horizontal="center"/>
      <protection/>
    </xf>
    <xf numFmtId="37" fontId="6" fillId="7" borderId="45" xfId="0" applyNumberFormat="1" applyFont="1" applyFill="1" applyBorder="1" applyAlignment="1" applyProtection="1">
      <alignment horizontal="center"/>
      <protection/>
    </xf>
    <xf numFmtId="3" fontId="9" fillId="2" borderId="0" xfId="0" applyNumberFormat="1" applyFont="1" applyFill="1" applyAlignment="1">
      <alignment horizontal="center"/>
    </xf>
    <xf numFmtId="0" fontId="10" fillId="2" borderId="0" xfId="0" applyFont="1" applyFill="1" applyAlignment="1">
      <alignment/>
    </xf>
    <xf numFmtId="0" fontId="0" fillId="2" borderId="0" xfId="0" applyFill="1" applyAlignment="1">
      <alignment/>
    </xf>
    <xf numFmtId="4" fontId="6" fillId="7" borderId="27" xfId="0" applyNumberFormat="1" applyFont="1" applyFill="1" applyBorder="1" applyAlignment="1" applyProtection="1">
      <alignment horizontal="center"/>
      <protection/>
    </xf>
    <xf numFmtId="4" fontId="6" fillId="7" borderId="32" xfId="0" applyNumberFormat="1" applyFont="1" applyFill="1" applyBorder="1" applyAlignment="1" applyProtection="1">
      <alignment horizontal="center"/>
      <protection/>
    </xf>
    <xf numFmtId="4" fontId="6" fillId="7" borderId="36" xfId="0" applyNumberFormat="1" applyFont="1" applyFill="1" applyBorder="1" applyAlignment="1" applyProtection="1">
      <alignment horizontal="center"/>
      <protection/>
    </xf>
    <xf numFmtId="0" fontId="9" fillId="3" borderId="0" xfId="0" applyFont="1" applyFill="1" applyAlignment="1" applyProtection="1">
      <alignment horizontal="center"/>
      <protection locked="0"/>
    </xf>
    <xf numFmtId="0" fontId="24" fillId="2" borderId="0" xfId="0" applyFont="1" applyFill="1" applyAlignment="1">
      <alignment/>
    </xf>
    <xf numFmtId="0" fontId="9" fillId="2" borderId="0" xfId="0" applyFont="1" applyFill="1" applyAlignment="1" applyProtection="1">
      <alignment horizontal="left"/>
      <protection/>
    </xf>
    <xf numFmtId="0" fontId="6" fillId="2" borderId="4" xfId="0" applyFont="1" applyFill="1" applyBorder="1" applyAlignment="1" applyProtection="1">
      <alignment horizontal="left"/>
      <protection/>
    </xf>
    <xf numFmtId="0" fontId="0" fillId="0" borderId="55" xfId="0" applyBorder="1" applyAlignment="1">
      <alignment/>
    </xf>
    <xf numFmtId="0" fontId="0" fillId="0" borderId="15" xfId="0" applyBorder="1" applyAlignment="1">
      <alignment/>
    </xf>
    <xf numFmtId="0" fontId="9" fillId="0" borderId="4" xfId="0" applyFont="1" applyBorder="1" applyAlignment="1">
      <alignment/>
    </xf>
    <xf numFmtId="0" fontId="9" fillId="0" borderId="41" xfId="0" applyFont="1" applyBorder="1" applyAlignment="1">
      <alignment/>
    </xf>
    <xf numFmtId="0" fontId="9" fillId="0" borderId="55" xfId="0" applyFont="1" applyBorder="1" applyAlignment="1">
      <alignment/>
    </xf>
    <xf numFmtId="0" fontId="6" fillId="2" borderId="55" xfId="0" applyFont="1" applyFill="1" applyBorder="1" applyAlignment="1" applyProtection="1">
      <alignment horizontal="left"/>
      <protection/>
    </xf>
    <xf numFmtId="0" fontId="3" fillId="0" borderId="0" xfId="0" applyFont="1" applyAlignment="1">
      <alignment/>
    </xf>
    <xf numFmtId="0" fontId="6" fillId="3" borderId="45" xfId="0" applyFont="1" applyFill="1" applyBorder="1" applyAlignment="1" applyProtection="1">
      <alignment/>
      <protection locked="0"/>
    </xf>
    <xf numFmtId="3" fontId="6" fillId="0" borderId="0" xfId="0" applyNumberFormat="1" applyFont="1" applyBorder="1" applyAlignment="1">
      <alignment horizontal="center"/>
    </xf>
    <xf numFmtId="1" fontId="9" fillId="0" borderId="11" xfId="0" applyNumberFormat="1" applyFont="1" applyBorder="1" applyAlignment="1">
      <alignment horizontal="center"/>
    </xf>
    <xf numFmtId="1" fontId="9" fillId="0" borderId="42" xfId="0" applyNumberFormat="1" applyFont="1" applyBorder="1" applyAlignment="1">
      <alignment horizontal="center"/>
    </xf>
    <xf numFmtId="1" fontId="9" fillId="0" borderId="26" xfId="0" applyNumberFormat="1" applyFont="1" applyBorder="1" applyAlignment="1">
      <alignment horizontal="center"/>
    </xf>
    <xf numFmtId="1" fontId="9" fillId="0" borderId="27" xfId="0" applyNumberFormat="1" applyFont="1" applyBorder="1" applyAlignment="1">
      <alignment horizontal="center"/>
    </xf>
    <xf numFmtId="1" fontId="9" fillId="0" borderId="43" xfId="0" applyNumberFormat="1" applyFont="1" applyBorder="1" applyAlignment="1">
      <alignment horizontal="center"/>
    </xf>
    <xf numFmtId="1" fontId="9" fillId="0" borderId="31" xfId="0" applyNumberFormat="1" applyFont="1" applyBorder="1" applyAlignment="1">
      <alignment horizontal="center"/>
    </xf>
    <xf numFmtId="1" fontId="9" fillId="0" borderId="32" xfId="0" applyNumberFormat="1" applyFont="1" applyBorder="1" applyAlignment="1">
      <alignment horizontal="center"/>
    </xf>
    <xf numFmtId="1" fontId="9" fillId="0" borderId="45" xfId="0" applyNumberFormat="1" applyFont="1" applyBorder="1" applyAlignment="1">
      <alignment horizontal="center"/>
    </xf>
    <xf numFmtId="1" fontId="9" fillId="0" borderId="35" xfId="0" applyNumberFormat="1" applyFont="1" applyBorder="1" applyAlignment="1">
      <alignment horizontal="center"/>
    </xf>
    <xf numFmtId="1" fontId="9" fillId="0" borderId="36" xfId="0" applyNumberFormat="1" applyFont="1" applyBorder="1" applyAlignment="1">
      <alignment horizontal="center"/>
    </xf>
    <xf numFmtId="0" fontId="11" fillId="0" borderId="11" xfId="0" applyFont="1" applyBorder="1" applyAlignment="1">
      <alignment/>
    </xf>
    <xf numFmtId="0" fontId="6" fillId="10" borderId="11" xfId="0" applyFont="1" applyFill="1" applyBorder="1" applyAlignment="1">
      <alignment/>
    </xf>
    <xf numFmtId="0" fontId="7" fillId="0" borderId="11" xfId="0" applyFont="1" applyBorder="1" applyAlignment="1">
      <alignment/>
    </xf>
    <xf numFmtId="0" fontId="6" fillId="2" borderId="4" xfId="0" applyFont="1" applyFill="1" applyBorder="1" applyAlignment="1">
      <alignment horizontal="left"/>
    </xf>
    <xf numFmtId="39" fontId="6" fillId="2" borderId="20" xfId="0" applyNumberFormat="1" applyFont="1" applyFill="1" applyBorder="1" applyAlignment="1" applyProtection="1">
      <alignment horizontal="center"/>
      <protection/>
    </xf>
    <xf numFmtId="39" fontId="6" fillId="2" borderId="34" xfId="0" applyNumberFormat="1" applyFont="1" applyFill="1" applyBorder="1" applyAlignment="1" applyProtection="1">
      <alignment horizontal="center"/>
      <protection/>
    </xf>
    <xf numFmtId="0" fontId="6" fillId="3" borderId="42" xfId="0" applyFont="1" applyFill="1" applyBorder="1" applyAlignment="1" applyProtection="1">
      <alignment/>
      <protection locked="0"/>
    </xf>
    <xf numFmtId="0" fontId="6" fillId="3" borderId="43" xfId="0" applyFont="1" applyFill="1" applyBorder="1" applyAlignment="1" applyProtection="1">
      <alignment/>
      <protection locked="0"/>
    </xf>
    <xf numFmtId="0" fontId="11" fillId="0" borderId="11" xfId="0" applyFont="1" applyBorder="1" applyAlignment="1">
      <alignment horizontal="center"/>
    </xf>
    <xf numFmtId="0" fontId="13" fillId="0" borderId="0" xfId="0" applyFont="1" applyAlignment="1">
      <alignment/>
    </xf>
    <xf numFmtId="0" fontId="9" fillId="2" borderId="28" xfId="0" applyFont="1" applyFill="1" applyBorder="1" applyAlignment="1" applyProtection="1">
      <alignment/>
      <protection/>
    </xf>
    <xf numFmtId="0" fontId="9" fillId="0" borderId="28" xfId="0" applyFont="1" applyBorder="1" applyAlignment="1" applyProtection="1">
      <alignment/>
      <protection/>
    </xf>
    <xf numFmtId="0" fontId="10" fillId="2" borderId="0" xfId="0" applyFont="1" applyFill="1" applyBorder="1" applyAlignment="1" applyProtection="1">
      <alignment/>
      <protection/>
    </xf>
    <xf numFmtId="0" fontId="9" fillId="2" borderId="37" xfId="0" applyFont="1" applyFill="1" applyBorder="1" applyAlignment="1" applyProtection="1">
      <alignment/>
      <protection/>
    </xf>
    <xf numFmtId="1" fontId="6" fillId="0" borderId="29" xfId="0" applyNumberFormat="1" applyFont="1" applyBorder="1" applyAlignment="1" applyProtection="1">
      <alignment horizontal="center"/>
      <protection/>
    </xf>
    <xf numFmtId="37" fontId="6" fillId="0" borderId="38" xfId="0" applyNumberFormat="1" applyFont="1" applyBorder="1" applyAlignment="1" applyProtection="1">
      <alignment/>
      <protection/>
    </xf>
    <xf numFmtId="37" fontId="6" fillId="0" borderId="32" xfId="0" applyNumberFormat="1" applyFont="1" applyBorder="1" applyAlignment="1" applyProtection="1">
      <alignment/>
      <protection/>
    </xf>
    <xf numFmtId="9" fontId="6" fillId="2" borderId="29" xfId="0" applyNumberFormat="1" applyFont="1" applyFill="1" applyBorder="1" applyAlignment="1" applyProtection="1">
      <alignment horizontal="right"/>
      <protection/>
    </xf>
    <xf numFmtId="9" fontId="6" fillId="2" borderId="48" xfId="0" applyNumberFormat="1" applyFont="1" applyFill="1" applyBorder="1" applyAlignment="1" applyProtection="1">
      <alignment horizontal="right"/>
      <protection/>
    </xf>
    <xf numFmtId="9" fontId="10" fillId="0" borderId="29" xfId="0" applyNumberFormat="1" applyFont="1" applyBorder="1" applyAlignment="1" applyProtection="1">
      <alignment/>
      <protection/>
    </xf>
    <xf numFmtId="9" fontId="6" fillId="11" borderId="31" xfId="0" applyNumberFormat="1" applyFont="1" applyFill="1" applyBorder="1" applyAlignment="1" applyProtection="1">
      <alignment horizontal="right"/>
      <protection/>
    </xf>
    <xf numFmtId="9" fontId="6" fillId="11" borderId="32" xfId="0" applyNumberFormat="1" applyFont="1" applyFill="1" applyBorder="1" applyAlignment="1" applyProtection="1">
      <alignment horizontal="right"/>
      <protection/>
    </xf>
    <xf numFmtId="9" fontId="6" fillId="11" borderId="49" xfId="0" applyNumberFormat="1" applyFont="1" applyFill="1" applyBorder="1" applyAlignment="1" applyProtection="1">
      <alignment/>
      <protection/>
    </xf>
    <xf numFmtId="9" fontId="6" fillId="11" borderId="82" xfId="0" applyNumberFormat="1" applyFont="1" applyFill="1" applyBorder="1" applyAlignment="1" applyProtection="1">
      <alignment/>
      <protection/>
    </xf>
    <xf numFmtId="0" fontId="11" fillId="0" borderId="0" xfId="0" applyFont="1" applyBorder="1" applyAlignment="1">
      <alignment/>
    </xf>
    <xf numFmtId="9" fontId="6" fillId="12" borderId="31" xfId="0" applyNumberFormat="1" applyFont="1" applyFill="1" applyBorder="1" applyAlignment="1" applyProtection="1">
      <alignment horizontal="center"/>
      <protection/>
    </xf>
    <xf numFmtId="9" fontId="6" fillId="12" borderId="32" xfId="0" applyNumberFormat="1" applyFont="1" applyFill="1" applyBorder="1" applyAlignment="1" applyProtection="1">
      <alignment horizontal="center"/>
      <protection/>
    </xf>
    <xf numFmtId="9" fontId="6" fillId="12" borderId="31" xfId="25" applyNumberFormat="1" applyFont="1" applyFill="1" applyBorder="1" applyAlignment="1" applyProtection="1">
      <alignment horizontal="center"/>
      <protection/>
    </xf>
    <xf numFmtId="0" fontId="6" fillId="2" borderId="0" xfId="0" applyFont="1" applyFill="1" applyBorder="1" applyAlignment="1" applyProtection="1">
      <alignment horizontal="left"/>
      <protection/>
    </xf>
    <xf numFmtId="0" fontId="11" fillId="2" borderId="57" xfId="0" applyFont="1" applyFill="1" applyBorder="1" applyAlignment="1">
      <alignment horizontal="left"/>
    </xf>
    <xf numFmtId="0" fontId="11" fillId="2" borderId="58" xfId="0" applyFont="1" applyFill="1" applyBorder="1" applyAlignment="1">
      <alignment horizontal="left"/>
    </xf>
    <xf numFmtId="0" fontId="9" fillId="2" borderId="0" xfId="0" applyFont="1" applyFill="1" applyAlignment="1">
      <alignment horizontal="left"/>
    </xf>
    <xf numFmtId="0" fontId="9" fillId="2" borderId="0" xfId="0" applyFont="1" applyFill="1" applyBorder="1" applyAlignment="1">
      <alignment horizontal="right"/>
    </xf>
    <xf numFmtId="0" fontId="26" fillId="2" borderId="0" xfId="0" applyFont="1" applyFill="1" applyBorder="1" applyAlignment="1">
      <alignment/>
    </xf>
    <xf numFmtId="0" fontId="10" fillId="2" borderId="0" xfId="0" applyFont="1" applyFill="1" applyAlignment="1">
      <alignment horizontal="center"/>
    </xf>
    <xf numFmtId="0" fontId="0" fillId="0" borderId="0" xfId="0" applyAlignment="1">
      <alignment horizontal="center"/>
    </xf>
    <xf numFmtId="0" fontId="9" fillId="2" borderId="0" xfId="0" applyFont="1" applyFill="1" applyBorder="1" applyAlignment="1">
      <alignment horizontal="left"/>
    </xf>
    <xf numFmtId="1" fontId="9" fillId="2" borderId="0" xfId="0" applyNumberFormat="1" applyFont="1" applyFill="1" applyAlignment="1">
      <alignment horizontal="center"/>
    </xf>
    <xf numFmtId="0" fontId="6" fillId="2" borderId="0" xfId="0" applyFont="1" applyFill="1" applyBorder="1" applyAlignment="1" applyProtection="1">
      <alignment horizontal="left"/>
      <protection locked="0"/>
    </xf>
    <xf numFmtId="3" fontId="6" fillId="2" borderId="0" xfId="0" applyNumberFormat="1" applyFont="1" applyFill="1" applyBorder="1" applyAlignment="1" applyProtection="1">
      <alignment horizontal="center"/>
      <protection locked="0"/>
    </xf>
    <xf numFmtId="169" fontId="6" fillId="2" borderId="0"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center"/>
      <protection locked="0"/>
    </xf>
    <xf numFmtId="1" fontId="6" fillId="2" borderId="0" xfId="0" applyNumberFormat="1" applyFont="1" applyFill="1" applyBorder="1" applyAlignment="1" applyProtection="1">
      <alignment horizontal="center"/>
      <protection/>
    </xf>
    <xf numFmtId="3" fontId="6" fillId="2" borderId="0" xfId="0" applyNumberFormat="1" applyFont="1" applyFill="1" applyBorder="1" applyAlignment="1" applyProtection="1">
      <alignment horizontal="center"/>
      <protection/>
    </xf>
    <xf numFmtId="0" fontId="0" fillId="2" borderId="0" xfId="0" applyFill="1" applyAlignment="1">
      <alignment horizontal="center"/>
    </xf>
    <xf numFmtId="0" fontId="9" fillId="11" borderId="11" xfId="0" applyFont="1" applyFill="1" applyBorder="1" applyAlignment="1" applyProtection="1">
      <alignment horizontal="center"/>
      <protection/>
    </xf>
    <xf numFmtId="0" fontId="9" fillId="11" borderId="79" xfId="0" applyFont="1" applyFill="1" applyBorder="1" applyAlignment="1" applyProtection="1">
      <alignment horizontal="center"/>
      <protection/>
    </xf>
    <xf numFmtId="0" fontId="6" fillId="2" borderId="12" xfId="0" applyFont="1" applyFill="1" applyBorder="1" applyAlignment="1" applyProtection="1">
      <alignment/>
      <protection/>
    </xf>
    <xf numFmtId="0" fontId="6" fillId="2" borderId="41" xfId="0" applyFont="1" applyFill="1" applyBorder="1" applyAlignment="1" applyProtection="1">
      <alignment/>
      <protection/>
    </xf>
    <xf numFmtId="1" fontId="9" fillId="7" borderId="14" xfId="0" applyNumberFormat="1" applyFont="1" applyFill="1" applyBorder="1" applyAlignment="1">
      <alignment horizontal="center" vertical="center"/>
    </xf>
    <xf numFmtId="0" fontId="9" fillId="0" borderId="15" xfId="0" applyFont="1" applyBorder="1" applyAlignment="1">
      <alignment/>
    </xf>
    <xf numFmtId="0" fontId="9" fillId="0" borderId="55" xfId="0" applyFont="1" applyBorder="1" applyAlignment="1">
      <alignment horizontal="right"/>
    </xf>
    <xf numFmtId="1" fontId="33" fillId="11" borderId="88" xfId="0" applyNumberFormat="1" applyFont="1" applyFill="1" applyBorder="1" applyAlignment="1">
      <alignment horizontal="center" vertical="center"/>
    </xf>
    <xf numFmtId="1" fontId="33" fillId="11" borderId="14" xfId="0" applyNumberFormat="1" applyFont="1" applyFill="1" applyBorder="1" applyAlignment="1">
      <alignment horizontal="center" vertical="center"/>
    </xf>
    <xf numFmtId="1" fontId="33" fillId="11" borderId="89" xfId="0" applyNumberFormat="1" applyFont="1" applyFill="1" applyBorder="1" applyAlignment="1">
      <alignment horizontal="center" vertical="center"/>
    </xf>
    <xf numFmtId="1" fontId="9" fillId="7" borderId="11" xfId="0" applyNumberFormat="1" applyFont="1" applyFill="1" applyBorder="1" applyAlignment="1">
      <alignment horizontal="center" vertical="center"/>
    </xf>
    <xf numFmtId="1" fontId="9" fillId="7" borderId="79" xfId="0" applyNumberFormat="1" applyFont="1" applyFill="1" applyBorder="1" applyAlignment="1">
      <alignment horizontal="center" vertical="center"/>
    </xf>
    <xf numFmtId="0" fontId="9" fillId="2" borderId="4" xfId="0" applyFont="1" applyFill="1" applyBorder="1" applyAlignment="1" applyProtection="1">
      <alignment horizontal="left"/>
      <protection/>
    </xf>
    <xf numFmtId="169" fontId="9" fillId="7" borderId="11" xfId="0" applyNumberFormat="1" applyFont="1" applyFill="1" applyBorder="1" applyAlignment="1">
      <alignment horizontal="center"/>
    </xf>
    <xf numFmtId="1" fontId="9" fillId="7" borderId="11" xfId="0" applyNumberFormat="1" applyFont="1" applyFill="1" applyBorder="1" applyAlignment="1">
      <alignment horizontal="center"/>
    </xf>
    <xf numFmtId="0" fontId="9" fillId="3" borderId="14" xfId="0" applyFont="1" applyFill="1" applyBorder="1" applyAlignment="1" applyProtection="1">
      <alignment horizontal="center"/>
      <protection locked="0"/>
    </xf>
    <xf numFmtId="0" fontId="9" fillId="0" borderId="9" xfId="0" applyFont="1" applyBorder="1" applyAlignment="1">
      <alignment/>
    </xf>
    <xf numFmtId="0" fontId="9" fillId="2" borderId="12" xfId="0" applyFont="1" applyFill="1" applyBorder="1" applyAlignment="1">
      <alignment/>
    </xf>
    <xf numFmtId="0" fontId="9" fillId="2" borderId="14" xfId="0" applyFont="1" applyFill="1" applyBorder="1" applyAlignment="1">
      <alignment/>
    </xf>
    <xf numFmtId="1" fontId="9" fillId="11" borderId="78" xfId="0" applyNumberFormat="1" applyFont="1" applyFill="1" applyBorder="1" applyAlignment="1">
      <alignment horizontal="center" vertical="center"/>
    </xf>
    <xf numFmtId="0" fontId="9" fillId="11" borderId="12" xfId="0" applyFont="1" applyFill="1" applyBorder="1" applyAlignment="1" applyProtection="1">
      <alignment horizontal="center"/>
      <protection/>
    </xf>
    <xf numFmtId="0" fontId="9" fillId="0" borderId="11" xfId="0" applyFont="1" applyBorder="1" applyAlignment="1" applyProtection="1">
      <alignment horizontal="center"/>
      <protection/>
    </xf>
    <xf numFmtId="0" fontId="9" fillId="2" borderId="62" xfId="0" applyFont="1" applyFill="1" applyBorder="1" applyAlignment="1">
      <alignment horizontal="left"/>
    </xf>
    <xf numFmtId="0" fontId="11" fillId="2" borderId="58" xfId="0" applyFont="1" applyFill="1" applyBorder="1" applyAlignment="1">
      <alignment/>
    </xf>
    <xf numFmtId="0" fontId="9" fillId="2" borderId="80" xfId="0" applyFont="1" applyFill="1" applyBorder="1" applyAlignment="1">
      <alignment/>
    </xf>
    <xf numFmtId="0" fontId="9" fillId="2" borderId="90" xfId="0" applyFont="1" applyFill="1" applyBorder="1" applyAlignment="1">
      <alignment/>
    </xf>
    <xf numFmtId="1" fontId="6" fillId="0" borderId="11" xfId="0" applyNumberFormat="1" applyFont="1" applyBorder="1" applyAlignment="1" applyProtection="1">
      <alignment/>
      <protection/>
    </xf>
    <xf numFmtId="2" fontId="6" fillId="2" borderId="16" xfId="0" applyNumberFormat="1" applyFont="1" applyFill="1" applyBorder="1" applyAlignment="1" applyProtection="1">
      <alignment horizontal="center"/>
      <protection/>
    </xf>
    <xf numFmtId="182" fontId="6" fillId="2" borderId="31" xfId="0" applyNumberFormat="1" applyFont="1" applyFill="1" applyBorder="1" applyAlignment="1" applyProtection="1">
      <alignment horizontal="center"/>
      <protection/>
    </xf>
    <xf numFmtId="3" fontId="6" fillId="2" borderId="31" xfId="0" applyNumberFormat="1" applyFont="1" applyFill="1" applyBorder="1" applyAlignment="1" applyProtection="1">
      <alignment horizontal="center"/>
      <protection/>
    </xf>
    <xf numFmtId="169" fontId="6" fillId="2" borderId="38" xfId="0" applyNumberFormat="1" applyFont="1" applyFill="1" applyBorder="1" applyAlignment="1" applyProtection="1">
      <alignment horizontal="center"/>
      <protection/>
    </xf>
    <xf numFmtId="182" fontId="6" fillId="2" borderId="35" xfId="0" applyNumberFormat="1" applyFont="1" applyFill="1" applyBorder="1" applyAlignment="1" applyProtection="1">
      <alignment horizontal="center"/>
      <protection/>
    </xf>
    <xf numFmtId="3" fontId="6" fillId="2" borderId="35" xfId="0" applyNumberFormat="1" applyFont="1" applyFill="1" applyBorder="1" applyAlignment="1" applyProtection="1">
      <alignment horizontal="center"/>
      <protection/>
    </xf>
    <xf numFmtId="169" fontId="6" fillId="2" borderId="36" xfId="0" applyNumberFormat="1" applyFont="1" applyFill="1" applyBorder="1" applyAlignment="1" applyProtection="1">
      <alignment horizontal="center"/>
      <protection/>
    </xf>
    <xf numFmtId="0" fontId="6" fillId="2" borderId="22" xfId="0" applyFont="1" applyFill="1" applyBorder="1" applyAlignment="1" applyProtection="1">
      <alignment horizontal="left"/>
      <protection/>
    </xf>
    <xf numFmtId="0" fontId="6" fillId="2" borderId="34" xfId="0" applyFont="1" applyFill="1" applyBorder="1" applyAlignment="1" applyProtection="1">
      <alignment horizontal="left"/>
      <protection/>
    </xf>
    <xf numFmtId="1" fontId="9" fillId="2" borderId="0" xfId="0" applyNumberFormat="1" applyFont="1" applyFill="1" applyBorder="1" applyAlignment="1" applyProtection="1">
      <alignment horizontal="center"/>
      <protection/>
    </xf>
    <xf numFmtId="3" fontId="6" fillId="2" borderId="26" xfId="0" applyNumberFormat="1" applyFont="1" applyFill="1" applyBorder="1" applyAlignment="1" applyProtection="1">
      <alignment horizontal="center"/>
      <protection/>
    </xf>
    <xf numFmtId="169" fontId="6" fillId="2" borderId="53" xfId="0" applyNumberFormat="1" applyFont="1" applyFill="1" applyBorder="1" applyAlignment="1" applyProtection="1">
      <alignment horizontal="center"/>
      <protection/>
    </xf>
    <xf numFmtId="169" fontId="6" fillId="2" borderId="48" xfId="0" applyNumberFormat="1" applyFont="1" applyFill="1" applyBorder="1" applyAlignment="1" applyProtection="1">
      <alignment horizontal="center"/>
      <protection/>
    </xf>
    <xf numFmtId="169" fontId="6" fillId="2" borderId="54" xfId="0" applyNumberFormat="1" applyFont="1" applyFill="1" applyBorder="1" applyAlignment="1" applyProtection="1">
      <alignment horizontal="center"/>
      <protection/>
    </xf>
    <xf numFmtId="9" fontId="9" fillId="3" borderId="11" xfId="0" applyNumberFormat="1" applyFont="1" applyFill="1" applyBorder="1" applyAlignment="1" applyProtection="1">
      <alignment horizontal="center"/>
      <protection locked="0"/>
    </xf>
    <xf numFmtId="0" fontId="6" fillId="2" borderId="11" xfId="0" applyNumberFormat="1" applyFont="1" applyFill="1" applyBorder="1" applyAlignment="1">
      <alignment horizontal="center"/>
    </xf>
    <xf numFmtId="169" fontId="6" fillId="2" borderId="11" xfId="0" applyNumberFormat="1" applyFont="1" applyFill="1" applyBorder="1" applyAlignment="1">
      <alignment horizontal="center"/>
    </xf>
    <xf numFmtId="0" fontId="24" fillId="0" borderId="0" xfId="0" applyFont="1" applyAlignment="1">
      <alignment/>
    </xf>
    <xf numFmtId="0" fontId="9" fillId="0" borderId="4" xfId="0" applyFont="1" applyBorder="1" applyAlignment="1" applyProtection="1">
      <alignment/>
      <protection/>
    </xf>
    <xf numFmtId="0" fontId="6" fillId="2" borderId="4" xfId="0" applyFont="1" applyFill="1" applyBorder="1" applyAlignment="1">
      <alignment/>
    </xf>
    <xf numFmtId="0" fontId="13" fillId="3" borderId="79" xfId="0" applyFont="1" applyFill="1" applyBorder="1" applyAlignment="1" applyProtection="1">
      <alignment horizontal="center"/>
      <protection locked="0"/>
    </xf>
    <xf numFmtId="1" fontId="29" fillId="3" borderId="75" xfId="0" applyNumberFormat="1" applyFont="1" applyFill="1" applyBorder="1" applyAlignment="1" applyProtection="1">
      <alignment horizontal="center" vertical="center"/>
      <protection/>
    </xf>
    <xf numFmtId="0" fontId="9" fillId="2" borderId="11" xfId="0" applyFont="1" applyFill="1" applyBorder="1" applyAlignment="1" applyProtection="1">
      <alignment horizontal="center"/>
      <protection locked="0"/>
    </xf>
    <xf numFmtId="1" fontId="9" fillId="3" borderId="11" xfId="0" applyNumberFormat="1" applyFont="1" applyFill="1" applyBorder="1" applyAlignment="1" applyProtection="1">
      <alignment horizontal="center"/>
      <protection locked="0"/>
    </xf>
    <xf numFmtId="0" fontId="6" fillId="2" borderId="30" xfId="0" applyFont="1" applyFill="1" applyBorder="1" applyAlignment="1" applyProtection="1">
      <alignment horizontal="left"/>
      <protection/>
    </xf>
    <xf numFmtId="0" fontId="6" fillId="2" borderId="5" xfId="0" applyFont="1" applyFill="1" applyBorder="1" applyAlignment="1">
      <alignment horizontal="left"/>
    </xf>
    <xf numFmtId="14" fontId="6" fillId="2" borderId="0" xfId="0" applyNumberFormat="1" applyFont="1" applyFill="1" applyBorder="1" applyAlignment="1" applyProtection="1">
      <alignment horizontal="left"/>
      <protection/>
    </xf>
    <xf numFmtId="0" fontId="9" fillId="2" borderId="0" xfId="0" applyFont="1" applyFill="1" applyBorder="1" applyAlignment="1">
      <alignment horizontal="right"/>
    </xf>
    <xf numFmtId="0" fontId="11" fillId="2" borderId="0" xfId="0" applyFont="1" applyFill="1" applyAlignment="1">
      <alignment horizontal="right"/>
    </xf>
    <xf numFmtId="3" fontId="9" fillId="2" borderId="4" xfId="0" applyNumberFormat="1" applyFont="1" applyFill="1" applyBorder="1" applyAlignment="1">
      <alignment horizontal="center"/>
    </xf>
    <xf numFmtId="3" fontId="9" fillId="2" borderId="55" xfId="0" applyNumberFormat="1" applyFont="1" applyFill="1" applyBorder="1" applyAlignment="1">
      <alignment horizontal="center"/>
    </xf>
    <xf numFmtId="0" fontId="9" fillId="2" borderId="0" xfId="0" applyFont="1" applyFill="1" applyAlignment="1" applyProtection="1">
      <alignment horizontal="left"/>
      <protection/>
    </xf>
    <xf numFmtId="0" fontId="11" fillId="2" borderId="0" xfId="0" applyFont="1" applyFill="1" applyAlignment="1" applyProtection="1">
      <alignment horizontal="right"/>
      <protection/>
    </xf>
    <xf numFmtId="0" fontId="6" fillId="2" borderId="28" xfId="0" applyFont="1" applyFill="1" applyBorder="1" applyAlignment="1" applyProtection="1">
      <alignment horizontal="left"/>
      <protection/>
    </xf>
    <xf numFmtId="0" fontId="14" fillId="0" borderId="0" xfId="0" applyFont="1" applyBorder="1" applyAlignment="1" applyProtection="1">
      <alignment horizontal="center"/>
      <protection locked="0"/>
    </xf>
    <xf numFmtId="0" fontId="28" fillId="0" borderId="3" xfId="0" applyFont="1" applyBorder="1" applyAlignment="1" applyProtection="1">
      <alignment horizontal="center"/>
      <protection/>
    </xf>
    <xf numFmtId="0" fontId="28" fillId="0" borderId="6" xfId="0" applyFont="1" applyBorder="1" applyAlignment="1" applyProtection="1">
      <alignment horizontal="center"/>
      <protection/>
    </xf>
    <xf numFmtId="0" fontId="28" fillId="0" borderId="8" xfId="0" applyFont="1" applyBorder="1" applyAlignment="1" applyProtection="1">
      <alignment horizontal="center"/>
      <protection/>
    </xf>
    <xf numFmtId="0" fontId="28" fillId="0" borderId="5" xfId="0" applyFont="1" applyBorder="1" applyAlignment="1" applyProtection="1">
      <alignment horizontal="center"/>
      <protection/>
    </xf>
    <xf numFmtId="0" fontId="28" fillId="0" borderId="10" xfId="0" applyFont="1" applyBorder="1" applyAlignment="1" applyProtection="1">
      <alignment horizontal="center"/>
      <protection/>
    </xf>
    <xf numFmtId="0" fontId="28" fillId="0" borderId="15" xfId="0"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0" xfId="0" applyFont="1" applyBorder="1" applyAlignment="1" applyProtection="1">
      <alignment horizontal="center"/>
      <protection/>
    </xf>
    <xf numFmtId="0" fontId="9" fillId="0" borderId="10" xfId="0" applyFont="1" applyBorder="1" applyAlignment="1">
      <alignment horizontal="center"/>
    </xf>
    <xf numFmtId="0" fontId="9" fillId="0" borderId="15" xfId="0" applyFont="1" applyBorder="1" applyAlignment="1">
      <alignment horizontal="center"/>
    </xf>
    <xf numFmtId="0" fontId="6" fillId="3" borderId="4" xfId="0" applyFont="1" applyFill="1" applyBorder="1" applyAlignment="1" applyProtection="1">
      <alignment horizontal="center"/>
      <protection locked="0"/>
    </xf>
    <xf numFmtId="0" fontId="0" fillId="0" borderId="55" xfId="0" applyBorder="1" applyAlignment="1">
      <alignment horizontal="center"/>
    </xf>
    <xf numFmtId="0" fontId="6" fillId="0" borderId="5"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6" xfId="0" applyFont="1" applyBorder="1" applyAlignment="1" applyProtection="1">
      <alignment horizontal="center"/>
      <protection/>
    </xf>
    <xf numFmtId="0" fontId="6" fillId="3" borderId="22" xfId="0" applyFont="1" applyFill="1" applyBorder="1" applyAlignment="1" applyProtection="1">
      <alignment horizontal="left"/>
      <protection locked="0"/>
    </xf>
    <xf numFmtId="0" fontId="6" fillId="3" borderId="34" xfId="0" applyFont="1" applyFill="1" applyBorder="1" applyAlignment="1" applyProtection="1">
      <alignment horizontal="left"/>
      <protection locked="0"/>
    </xf>
    <xf numFmtId="14" fontId="6" fillId="0" borderId="0" xfId="0" applyNumberFormat="1" applyFont="1" applyBorder="1" applyAlignment="1" applyProtection="1">
      <alignment horizontal="left"/>
      <protection/>
    </xf>
    <xf numFmtId="0" fontId="6" fillId="0" borderId="0" xfId="0" applyFont="1" applyBorder="1" applyAlignment="1" applyProtection="1">
      <alignment horizontal="left"/>
      <protection/>
    </xf>
    <xf numFmtId="0" fontId="9" fillId="0" borderId="5" xfId="0" applyFont="1" applyBorder="1" applyAlignment="1">
      <alignment horizontal="center"/>
    </xf>
    <xf numFmtId="0" fontId="9" fillId="0" borderId="3" xfId="0" applyFont="1" applyBorder="1" applyAlignment="1">
      <alignment horizontal="center"/>
    </xf>
    <xf numFmtId="0" fontId="9" fillId="0" borderId="6" xfId="0" applyFont="1" applyBorder="1" applyAlignment="1">
      <alignment horizontal="center"/>
    </xf>
    <xf numFmtId="0" fontId="9" fillId="0" borderId="8" xfId="0" applyFont="1" applyBorder="1" applyAlignment="1">
      <alignment horizontal="center"/>
    </xf>
    <xf numFmtId="0" fontId="6" fillId="3" borderId="0" xfId="0" applyFont="1" applyFill="1" applyBorder="1" applyAlignment="1" applyProtection="1">
      <alignment horizontal="left"/>
      <protection locked="0"/>
    </xf>
    <xf numFmtId="0" fontId="6" fillId="0" borderId="3" xfId="0" applyFont="1" applyBorder="1" applyAlignment="1" applyProtection="1">
      <alignment horizontal="center"/>
      <protection/>
    </xf>
    <xf numFmtId="0" fontId="6" fillId="0" borderId="8" xfId="0" applyFont="1" applyBorder="1" applyAlignment="1" applyProtection="1">
      <alignment horizontal="center"/>
      <protection/>
    </xf>
    <xf numFmtId="0" fontId="16" fillId="0" borderId="0" xfId="0" applyFont="1" applyBorder="1" applyAlignment="1" applyProtection="1">
      <alignment horizontal="center"/>
      <protection locked="0"/>
    </xf>
    <xf numFmtId="0" fontId="11" fillId="0" borderId="0" xfId="0" applyFont="1" applyAlignment="1">
      <alignment horizontal="center"/>
    </xf>
    <xf numFmtId="14" fontId="6" fillId="3" borderId="0" xfId="0" applyNumberFormat="1" applyFont="1" applyFill="1" applyBorder="1" applyAlignment="1" applyProtection="1">
      <alignment horizontal="left"/>
      <protection locked="0"/>
    </xf>
    <xf numFmtId="0" fontId="6" fillId="0" borderId="4" xfId="0" applyFont="1" applyBorder="1" applyAlignment="1">
      <alignment horizontal="center"/>
    </xf>
    <xf numFmtId="0" fontId="6" fillId="0" borderId="41" xfId="0" applyFont="1" applyBorder="1" applyAlignment="1">
      <alignment horizontal="center"/>
    </xf>
    <xf numFmtId="0" fontId="6" fillId="0" borderId="55" xfId="0" applyFont="1" applyBorder="1" applyAlignment="1">
      <alignment horizontal="center"/>
    </xf>
    <xf numFmtId="0" fontId="9" fillId="3" borderId="0" xfId="0" applyFont="1" applyFill="1" applyAlignment="1" applyProtection="1">
      <alignment horizontal="left"/>
      <protection locked="0"/>
    </xf>
    <xf numFmtId="0" fontId="6" fillId="3" borderId="28" xfId="0" applyFont="1" applyFill="1" applyBorder="1" applyAlignment="1" applyProtection="1">
      <alignment horizontal="left"/>
      <protection locked="0"/>
    </xf>
    <xf numFmtId="0" fontId="6" fillId="3" borderId="30" xfId="0" applyFont="1" applyFill="1" applyBorder="1" applyAlignment="1" applyProtection="1">
      <alignment horizontal="left"/>
      <protection locked="0"/>
    </xf>
    <xf numFmtId="0" fontId="6" fillId="0" borderId="3"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6" fillId="3" borderId="23" xfId="0" applyFont="1" applyFill="1" applyBorder="1" applyAlignment="1" applyProtection="1">
      <alignment horizontal="left"/>
      <protection/>
    </xf>
    <xf numFmtId="0" fontId="6" fillId="3" borderId="25" xfId="0" applyFont="1" applyFill="1" applyBorder="1" applyAlignment="1" applyProtection="1">
      <alignment horizontal="left"/>
      <protection/>
    </xf>
    <xf numFmtId="0" fontId="6" fillId="0" borderId="4" xfId="0" applyFont="1" applyBorder="1" applyAlignment="1">
      <alignment horizontal="left"/>
    </xf>
    <xf numFmtId="0" fontId="6" fillId="0" borderId="55" xfId="0" applyFont="1" applyBorder="1" applyAlignment="1">
      <alignment horizontal="lef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xf>
    <xf numFmtId="0" fontId="6" fillId="0" borderId="10" xfId="0" applyFont="1" applyBorder="1" applyAlignment="1">
      <alignment horizontal="center"/>
    </xf>
    <xf numFmtId="0" fontId="6" fillId="0" borderId="15" xfId="0" applyFont="1" applyBorder="1" applyAlignment="1">
      <alignment horizontal="center"/>
    </xf>
    <xf numFmtId="0" fontId="8" fillId="0" borderId="10" xfId="0" applyFont="1" applyBorder="1" applyAlignment="1">
      <alignment horizontal="center"/>
    </xf>
    <xf numFmtId="0" fontId="6" fillId="2" borderId="15" xfId="0" applyFont="1" applyFill="1" applyBorder="1" applyAlignment="1">
      <alignment horizontal="left"/>
    </xf>
    <xf numFmtId="0" fontId="6" fillId="2" borderId="23" xfId="0" applyFont="1" applyFill="1" applyBorder="1" applyAlignment="1" applyProtection="1">
      <alignment horizontal="left"/>
      <protection/>
    </xf>
    <xf numFmtId="0" fontId="6" fillId="2" borderId="25" xfId="0" applyFont="1" applyFill="1" applyBorder="1" applyAlignment="1" applyProtection="1">
      <alignment horizontal="left"/>
      <protection/>
    </xf>
    <xf numFmtId="0" fontId="6" fillId="2" borderId="3" xfId="0" applyFont="1" applyFill="1" applyBorder="1" applyAlignment="1">
      <alignment horizontal="center"/>
    </xf>
    <xf numFmtId="0" fontId="6" fillId="2" borderId="8" xfId="0" applyFont="1" applyFill="1" applyBorder="1" applyAlignment="1">
      <alignment horizontal="center"/>
    </xf>
    <xf numFmtId="0" fontId="6" fillId="2" borderId="2" xfId="0" applyFont="1" applyFill="1" applyBorder="1" applyAlignment="1">
      <alignment horizontal="center"/>
    </xf>
    <xf numFmtId="0" fontId="6" fillId="2" borderId="9" xfId="0" applyFont="1" applyFill="1" applyBorder="1" applyAlignment="1">
      <alignment horizontal="center"/>
    </xf>
    <xf numFmtId="0" fontId="6" fillId="2" borderId="0" xfId="0" applyFont="1" applyFill="1" applyBorder="1" applyAlignment="1" applyProtection="1">
      <alignment horizontal="left"/>
      <protection/>
    </xf>
    <xf numFmtId="0" fontId="30" fillId="2" borderId="0" xfId="0" applyFont="1" applyFill="1" applyAlignment="1">
      <alignment horizontal="center"/>
    </xf>
    <xf numFmtId="0" fontId="6" fillId="2" borderId="22" xfId="0" applyFont="1" applyFill="1" applyBorder="1" applyAlignment="1" applyProtection="1">
      <alignment horizontal="left"/>
      <protection/>
    </xf>
    <xf numFmtId="0" fontId="6" fillId="2" borderId="33" xfId="0" applyFont="1" applyFill="1" applyBorder="1" applyAlignment="1" applyProtection="1">
      <alignment horizontal="left"/>
      <protection/>
    </xf>
    <xf numFmtId="0" fontId="6" fillId="2" borderId="29" xfId="0" applyFont="1" applyFill="1" applyBorder="1" applyAlignment="1" applyProtection="1">
      <alignment horizontal="left"/>
      <protection/>
    </xf>
    <xf numFmtId="0" fontId="8" fillId="0" borderId="0" xfId="0" applyFont="1" applyBorder="1" applyAlignment="1">
      <alignment horizontal="right"/>
    </xf>
    <xf numFmtId="0" fontId="11" fillId="0" borderId="0" xfId="0" applyFont="1" applyAlignment="1">
      <alignment horizontal="right"/>
    </xf>
    <xf numFmtId="0" fontId="6" fillId="2" borderId="3" xfId="0" applyFont="1" applyFill="1" applyBorder="1" applyAlignment="1" applyProtection="1">
      <alignment horizontal="center"/>
      <protection/>
    </xf>
    <xf numFmtId="0" fontId="6" fillId="2" borderId="8" xfId="0" applyFont="1" applyFill="1" applyBorder="1" applyAlignment="1" applyProtection="1">
      <alignment horizontal="center"/>
      <protection/>
    </xf>
    <xf numFmtId="0" fontId="6" fillId="2" borderId="5" xfId="0" applyFont="1" applyFill="1" applyBorder="1" applyAlignment="1">
      <alignment horizontal="center"/>
    </xf>
    <xf numFmtId="0" fontId="6" fillId="2" borderId="15" xfId="0" applyFont="1" applyFill="1" applyBorder="1" applyAlignment="1">
      <alignment horizontal="center"/>
    </xf>
    <xf numFmtId="0" fontId="6" fillId="2" borderId="10" xfId="0" applyFont="1" applyFill="1" applyBorder="1" applyAlignment="1">
      <alignment horizontal="center"/>
    </xf>
    <xf numFmtId="0" fontId="6" fillId="2" borderId="5" xfId="0" applyFont="1" applyFill="1" applyBorder="1" applyAlignment="1" applyProtection="1">
      <alignment horizontal="center"/>
      <protection/>
    </xf>
    <xf numFmtId="0" fontId="6" fillId="2" borderId="15" xfId="0" applyFont="1" applyFill="1" applyBorder="1" applyAlignment="1" applyProtection="1">
      <alignment horizontal="center"/>
      <protection/>
    </xf>
    <xf numFmtId="0" fontId="6" fillId="2" borderId="6" xfId="0" applyFont="1" applyFill="1" applyBorder="1" applyAlignment="1">
      <alignment horizontal="center"/>
    </xf>
    <xf numFmtId="0" fontId="6" fillId="2" borderId="24" xfId="0" applyFont="1" applyFill="1" applyBorder="1" applyAlignment="1" applyProtection="1">
      <alignment horizontal="left"/>
      <protection/>
    </xf>
    <xf numFmtId="0" fontId="8" fillId="2" borderId="0" xfId="0" applyFont="1" applyFill="1" applyBorder="1" applyAlignment="1">
      <alignment horizontal="right"/>
    </xf>
    <xf numFmtId="1" fontId="9" fillId="7" borderId="11" xfId="0" applyNumberFormat="1" applyFont="1" applyFill="1" applyBorder="1" applyAlignment="1">
      <alignment horizontal="center" vertical="center"/>
    </xf>
    <xf numFmtId="0" fontId="9" fillId="2" borderId="58" xfId="0" applyFont="1" applyFill="1" applyBorder="1" applyAlignment="1" applyProtection="1">
      <alignment horizontal="left"/>
      <protection locked="0"/>
    </xf>
    <xf numFmtId="0" fontId="9" fillId="2" borderId="91" xfId="0" applyFont="1" applyFill="1" applyBorder="1" applyAlignment="1" applyProtection="1">
      <alignment horizontal="left"/>
      <protection locked="0"/>
    </xf>
    <xf numFmtId="0" fontId="9" fillId="2" borderId="92"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9" fillId="2" borderId="93" xfId="0" applyFont="1" applyFill="1" applyBorder="1" applyAlignment="1" applyProtection="1">
      <alignment horizontal="left"/>
      <protection locked="0"/>
    </xf>
    <xf numFmtId="0" fontId="9" fillId="2" borderId="92"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93" xfId="0" applyFont="1" applyFill="1" applyBorder="1" applyAlignment="1" applyProtection="1">
      <alignment horizontal="left" vertical="top" wrapText="1"/>
      <protection locked="0"/>
    </xf>
    <xf numFmtId="0" fontId="9" fillId="2" borderId="94" xfId="0" applyFont="1" applyFill="1" applyBorder="1" applyAlignment="1" applyProtection="1">
      <alignment horizontal="left" vertical="top" wrapText="1"/>
      <protection locked="0"/>
    </xf>
    <xf numFmtId="0" fontId="9" fillId="2" borderId="80" xfId="0" applyFont="1" applyFill="1" applyBorder="1" applyAlignment="1" applyProtection="1">
      <alignment horizontal="left" vertical="top" wrapText="1"/>
      <protection locked="0"/>
    </xf>
    <xf numFmtId="0" fontId="9" fillId="2" borderId="95" xfId="0" applyFont="1" applyFill="1" applyBorder="1" applyAlignment="1" applyProtection="1">
      <alignment horizontal="left" vertical="top" wrapText="1"/>
      <protection locked="0"/>
    </xf>
    <xf numFmtId="0" fontId="9" fillId="2" borderId="4" xfId="0" applyFont="1" applyFill="1" applyBorder="1" applyAlignment="1">
      <alignment horizontal="left"/>
    </xf>
    <xf numFmtId="0" fontId="9" fillId="2" borderId="41" xfId="0" applyFont="1" applyFill="1" applyBorder="1" applyAlignment="1">
      <alignment horizontal="left"/>
    </xf>
    <xf numFmtId="0" fontId="9" fillId="2" borderId="55" xfId="0" applyFont="1" applyFill="1" applyBorder="1" applyAlignment="1">
      <alignment horizontal="left"/>
    </xf>
    <xf numFmtId="0" fontId="9" fillId="0" borderId="11" xfId="0" applyFont="1" applyBorder="1" applyAlignment="1">
      <alignment horizontal="left" wrapText="1"/>
    </xf>
    <xf numFmtId="0" fontId="11" fillId="2" borderId="57" xfId="0" applyFont="1" applyFill="1" applyBorder="1" applyAlignment="1">
      <alignment horizontal="center" vertical="center"/>
    </xf>
    <xf numFmtId="0" fontId="11" fillId="2" borderId="96" xfId="0" applyFont="1" applyFill="1" applyBorder="1" applyAlignment="1">
      <alignment horizontal="center" vertical="center"/>
    </xf>
    <xf numFmtId="0" fontId="11" fillId="2" borderId="94" xfId="0" applyFont="1" applyFill="1" applyBorder="1" applyAlignment="1">
      <alignment horizontal="center" vertical="center"/>
    </xf>
    <xf numFmtId="0" fontId="11" fillId="2" borderId="97" xfId="0" applyFont="1" applyFill="1" applyBorder="1" applyAlignment="1">
      <alignment horizontal="center" vertical="center"/>
    </xf>
    <xf numFmtId="0" fontId="9" fillId="2" borderId="68" xfId="0" applyFont="1" applyFill="1" applyBorder="1" applyAlignment="1">
      <alignment horizontal="left"/>
    </xf>
    <xf numFmtId="0" fontId="9" fillId="2" borderId="98" xfId="0" applyFont="1" applyFill="1" applyBorder="1" applyAlignment="1">
      <alignment horizontal="left"/>
    </xf>
    <xf numFmtId="0" fontId="9" fillId="0" borderId="4" xfId="0" applyFont="1" applyBorder="1" applyAlignment="1">
      <alignment horizontal="center"/>
    </xf>
    <xf numFmtId="0" fontId="9" fillId="0" borderId="41" xfId="0" applyFont="1" applyBorder="1" applyAlignment="1">
      <alignment horizontal="center"/>
    </xf>
    <xf numFmtId="0" fontId="9" fillId="0" borderId="55" xfId="0" applyFont="1" applyBorder="1" applyAlignment="1">
      <alignment horizontal="center"/>
    </xf>
    <xf numFmtId="0" fontId="29" fillId="3" borderId="66" xfId="0" applyFont="1" applyFill="1" applyBorder="1" applyAlignment="1" applyProtection="1">
      <alignment horizontal="left"/>
      <protection locked="0"/>
    </xf>
    <xf numFmtId="0" fontId="29" fillId="3" borderId="67" xfId="0" applyFont="1" applyFill="1" applyBorder="1" applyAlignment="1" applyProtection="1">
      <alignment horizontal="left"/>
      <protection locked="0"/>
    </xf>
    <xf numFmtId="0" fontId="29" fillId="3" borderId="90" xfId="0" applyFont="1" applyFill="1" applyBorder="1" applyAlignment="1" applyProtection="1">
      <alignment horizontal="left"/>
      <protection locked="0"/>
    </xf>
    <xf numFmtId="0" fontId="13" fillId="3" borderId="68" xfId="0" applyFont="1" applyFill="1" applyBorder="1" applyAlignment="1" applyProtection="1">
      <alignment horizontal="center"/>
      <protection locked="0"/>
    </xf>
    <xf numFmtId="0" fontId="13" fillId="3" borderId="55" xfId="0" applyFont="1" applyFill="1" applyBorder="1" applyAlignment="1" applyProtection="1">
      <alignment horizontal="center"/>
      <protection locked="0"/>
    </xf>
    <xf numFmtId="0" fontId="11" fillId="2" borderId="57" xfId="0" applyFont="1" applyFill="1" applyBorder="1" applyAlignment="1">
      <alignment horizontal="center"/>
    </xf>
    <xf numFmtId="0" fontId="11" fillId="2" borderId="58" xfId="0" applyFont="1" applyFill="1" applyBorder="1" applyAlignment="1">
      <alignment horizontal="center"/>
    </xf>
    <xf numFmtId="0" fontId="9" fillId="2" borderId="58" xfId="0" applyFont="1" applyFill="1" applyBorder="1" applyAlignment="1" applyProtection="1">
      <alignment horizontal="center"/>
      <protection locked="0"/>
    </xf>
    <xf numFmtId="0" fontId="9" fillId="2" borderId="91" xfId="0" applyFont="1" applyFill="1" applyBorder="1" applyAlignment="1" applyProtection="1">
      <alignment horizontal="center"/>
      <protection locked="0"/>
    </xf>
    <xf numFmtId="14" fontId="9" fillId="2" borderId="0" xfId="0" applyNumberFormat="1" applyFont="1" applyFill="1" applyAlignment="1" applyProtection="1">
      <alignment horizontal="center"/>
      <protection/>
    </xf>
    <xf numFmtId="0" fontId="9" fillId="2" borderId="0" xfId="0" applyFont="1" applyFill="1" applyAlignment="1">
      <alignment horizontal="left"/>
    </xf>
    <xf numFmtId="14" fontId="9" fillId="3" borderId="0" xfId="0" applyNumberFormat="1" applyFont="1" applyFill="1" applyAlignment="1" applyProtection="1">
      <alignment horizontal="center"/>
      <protection locked="0"/>
    </xf>
    <xf numFmtId="0" fontId="29" fillId="3" borderId="61" xfId="0" applyFont="1" applyFill="1" applyBorder="1" applyAlignment="1" applyProtection="1">
      <alignment horizontal="center"/>
      <protection locked="0"/>
    </xf>
    <xf numFmtId="0" fontId="29" fillId="3" borderId="76" xfId="0" applyFont="1" applyFill="1" applyBorder="1" applyAlignment="1" applyProtection="1">
      <alignment horizontal="center"/>
      <protection locked="0"/>
    </xf>
    <xf numFmtId="0" fontId="9" fillId="2" borderId="92"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93" xfId="0" applyFont="1" applyFill="1" applyBorder="1" applyAlignment="1" applyProtection="1">
      <alignment horizontal="left" vertical="center" wrapText="1"/>
      <protection locked="0"/>
    </xf>
    <xf numFmtId="0" fontId="22" fillId="2" borderId="0" xfId="0" applyFont="1" applyFill="1" applyAlignment="1">
      <alignment horizontal="center"/>
    </xf>
    <xf numFmtId="1" fontId="9" fillId="7" borderId="99" xfId="0" applyNumberFormat="1" applyFont="1" applyFill="1" applyBorder="1" applyAlignment="1">
      <alignment horizontal="center" vertical="center"/>
    </xf>
    <xf numFmtId="1" fontId="9" fillId="7" borderId="88" xfId="0" applyNumberFormat="1" applyFont="1" applyFill="1" applyBorder="1" applyAlignment="1">
      <alignment horizontal="center" vertical="center"/>
    </xf>
    <xf numFmtId="1" fontId="9" fillId="7" borderId="12" xfId="0" applyNumberFormat="1" applyFont="1" applyFill="1" applyBorder="1" applyAlignment="1">
      <alignment horizontal="center" vertical="center"/>
    </xf>
    <xf numFmtId="1" fontId="9" fillId="7" borderId="14" xfId="0" applyNumberFormat="1" applyFont="1" applyFill="1" applyBorder="1" applyAlignment="1">
      <alignment horizontal="center" vertical="center"/>
    </xf>
    <xf numFmtId="1" fontId="9" fillId="7" borderId="100" xfId="0" applyNumberFormat="1" applyFont="1" applyFill="1" applyBorder="1" applyAlignment="1">
      <alignment horizontal="center" vertical="center"/>
    </xf>
    <xf numFmtId="1" fontId="9" fillId="7" borderId="89" xfId="0" applyNumberFormat="1" applyFont="1" applyFill="1" applyBorder="1" applyAlignment="1">
      <alignment horizontal="center" vertical="center"/>
    </xf>
    <xf numFmtId="0" fontId="22" fillId="2" borderId="0" xfId="0" applyFont="1" applyFill="1" applyBorder="1" applyAlignment="1">
      <alignment horizontal="center"/>
    </xf>
    <xf numFmtId="0" fontId="9" fillId="0" borderId="11" xfId="0" applyFont="1" applyBorder="1" applyAlignment="1">
      <alignment horizontal="center"/>
    </xf>
    <xf numFmtId="0" fontId="11" fillId="2" borderId="0" xfId="0" applyFont="1" applyFill="1" applyBorder="1" applyAlignment="1">
      <alignment horizontal="center"/>
    </xf>
    <xf numFmtId="0" fontId="11" fillId="2" borderId="0" xfId="0" applyFont="1" applyFill="1" applyBorder="1" applyAlignment="1">
      <alignment horizontal="left"/>
    </xf>
    <xf numFmtId="0" fontId="11" fillId="2" borderId="41" xfId="0" applyFont="1" applyFill="1" applyBorder="1" applyAlignment="1">
      <alignment horizontal="center"/>
    </xf>
    <xf numFmtId="0" fontId="11" fillId="2" borderId="55" xfId="0" applyFont="1" applyFill="1" applyBorder="1" applyAlignment="1">
      <alignment horizontal="center"/>
    </xf>
    <xf numFmtId="0" fontId="11" fillId="2" borderId="0" xfId="0" applyFont="1" applyFill="1" applyAlignment="1" applyProtection="1">
      <alignment horizontal="center"/>
      <protection/>
    </xf>
  </cellXfs>
  <cellStyles count="13">
    <cellStyle name="Normal" xfId="0"/>
    <cellStyle name="Comma" xfId="15"/>
    <cellStyle name="Comma0" xfId="16"/>
    <cellStyle name="Currency" xfId="17"/>
    <cellStyle name="Currency0" xfId="18"/>
    <cellStyle name="Date" xfId="19"/>
    <cellStyle name="Fixed" xfId="20"/>
    <cellStyle name="Followed Hyperlink" xfId="21"/>
    <cellStyle name="Heading 1" xfId="22"/>
    <cellStyle name="Heading 2" xfId="23"/>
    <cellStyle name="Hyperlink" xfId="24"/>
    <cellStyle name="Percent" xfId="25"/>
    <cellStyle name="Total"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X176"/>
  <sheetViews>
    <sheetView showGridLines="0" showZeros="0" tabSelected="1" zoomScale="75" zoomScaleNormal="75" workbookViewId="0" topLeftCell="A1">
      <selection activeCell="C3" sqref="C3:F3"/>
    </sheetView>
  </sheetViews>
  <sheetFormatPr defaultColWidth="9.140625" defaultRowHeight="12.75"/>
  <cols>
    <col min="1" max="1" width="12.421875" style="1" customWidth="1"/>
    <col min="2" max="2" width="7.7109375" style="1" customWidth="1"/>
    <col min="3" max="4" width="7.28125" style="1" customWidth="1"/>
    <col min="5" max="5" width="7.7109375" style="1" customWidth="1"/>
    <col min="6" max="7" width="8.28125" style="1" customWidth="1"/>
    <col min="8" max="8" width="8.7109375" style="1" customWidth="1"/>
    <col min="9" max="15" width="9.28125" style="1" customWidth="1"/>
    <col min="16" max="16" width="9.7109375" style="1" customWidth="1"/>
    <col min="17" max="17" width="10.28125" style="1" customWidth="1"/>
    <col min="18" max="21" width="9.7109375" style="1" customWidth="1"/>
    <col min="22" max="22" width="14.28125" style="1" customWidth="1"/>
    <col min="23" max="29" width="9.7109375" style="1" customWidth="1"/>
    <col min="30" max="30" width="13.8515625" style="1" customWidth="1"/>
    <col min="31" max="52" width="9.7109375" style="1" customWidth="1"/>
    <col min="53" max="16384" width="10.28125" style="1" customWidth="1"/>
  </cols>
  <sheetData>
    <row r="1" spans="1:50" ht="16.5" customHeight="1">
      <c r="A1" s="24" t="s">
        <v>495</v>
      </c>
      <c r="B1" s="772" t="s">
        <v>0</v>
      </c>
      <c r="C1" s="772"/>
      <c r="D1" s="772"/>
      <c r="E1" s="772"/>
      <c r="F1" s="772"/>
      <c r="G1" s="772"/>
      <c r="H1" s="772"/>
      <c r="I1" s="772"/>
      <c r="J1" s="772"/>
      <c r="O1" s="33"/>
      <c r="P1"/>
      <c r="Q1"/>
      <c r="R1"/>
      <c r="S1"/>
      <c r="T1"/>
      <c r="U1"/>
      <c r="V1" s="408" t="s">
        <v>446</v>
      </c>
      <c r="W1"/>
      <c r="X1"/>
      <c r="Y1"/>
      <c r="Z1"/>
      <c r="AA1"/>
      <c r="AB1"/>
      <c r="AC1"/>
      <c r="AD1"/>
      <c r="AE1"/>
      <c r="AF1"/>
      <c r="AG1"/>
      <c r="AH1"/>
      <c r="AI1"/>
      <c r="AJ1"/>
      <c r="AK1"/>
      <c r="AL1"/>
      <c r="AM1"/>
      <c r="AN1"/>
      <c r="AO1"/>
      <c r="AX1" s="19"/>
    </row>
    <row r="2" spans="1:50" ht="15.75" customHeight="1">
      <c r="A2" s="24"/>
      <c r="B2" s="31"/>
      <c r="C2" s="32"/>
      <c r="D2" s="5"/>
      <c r="E2" s="33"/>
      <c r="F2" s="33"/>
      <c r="G2" s="33"/>
      <c r="H2" s="33"/>
      <c r="I2" s="22"/>
      <c r="J2" s="22"/>
      <c r="K2" s="34" t="s">
        <v>1</v>
      </c>
      <c r="L2" s="22"/>
      <c r="M2" s="769" t="s">
        <v>494</v>
      </c>
      <c r="N2" s="769"/>
      <c r="O2" s="33"/>
      <c r="P2"/>
      <c r="Q2"/>
      <c r="R2"/>
      <c r="S2"/>
      <c r="T2"/>
      <c r="U2"/>
      <c r="X2"/>
      <c r="Y2"/>
      <c r="Z2"/>
      <c r="AA2"/>
      <c r="AB2"/>
      <c r="AC2"/>
      <c r="AD2"/>
      <c r="AE2"/>
      <c r="AF2"/>
      <c r="AG2"/>
      <c r="AH2"/>
      <c r="AI2"/>
      <c r="AJ2"/>
      <c r="AK2"/>
      <c r="AL2"/>
      <c r="AM2"/>
      <c r="AN2"/>
      <c r="AO2"/>
      <c r="AX2" s="19"/>
    </row>
    <row r="3" spans="1:50" ht="15.75" customHeight="1">
      <c r="A3" s="19"/>
      <c r="B3" s="35" t="s">
        <v>2</v>
      </c>
      <c r="C3" s="769" t="s">
        <v>3</v>
      </c>
      <c r="D3" s="769"/>
      <c r="E3" s="769"/>
      <c r="F3" s="769"/>
      <c r="L3" s="24" t="s">
        <v>5</v>
      </c>
      <c r="M3" s="774">
        <f ca="1">TODAY()</f>
        <v>38737</v>
      </c>
      <c r="N3" s="774"/>
      <c r="O3" s="31"/>
      <c r="P3"/>
      <c r="Q3"/>
      <c r="R3"/>
      <c r="S3"/>
      <c r="T3"/>
      <c r="U3"/>
      <c r="V3" s="621" t="s">
        <v>483</v>
      </c>
      <c r="W3" s="689" t="s">
        <v>482</v>
      </c>
      <c r="Y3" s="621" t="s">
        <v>203</v>
      </c>
      <c r="Z3" s="622"/>
      <c r="AA3" s="623"/>
      <c r="AC3" s="618">
        <v>0</v>
      </c>
      <c r="AD3" s="619"/>
      <c r="AE3"/>
      <c r="AF3"/>
      <c r="AG3"/>
      <c r="AH3"/>
      <c r="AI3"/>
      <c r="AJ3"/>
      <c r="AK3"/>
      <c r="AL3"/>
      <c r="AM3"/>
      <c r="AN3"/>
      <c r="AO3"/>
      <c r="AX3" s="19"/>
    </row>
    <row r="4" spans="1:50" ht="15.75">
      <c r="A4" s="33"/>
      <c r="B4" s="35" t="s">
        <v>6</v>
      </c>
      <c r="C4" s="769" t="s">
        <v>7</v>
      </c>
      <c r="D4" s="769"/>
      <c r="E4" s="769"/>
      <c r="F4" s="298"/>
      <c r="G4" s="299" t="s">
        <v>8</v>
      </c>
      <c r="H4" s="769" t="s">
        <v>9</v>
      </c>
      <c r="I4" s="769"/>
      <c r="J4" s="769"/>
      <c r="K4" s="769"/>
      <c r="L4" s="36" t="s">
        <v>10</v>
      </c>
      <c r="M4" s="778" t="s">
        <v>11</v>
      </c>
      <c r="N4" s="778"/>
      <c r="O4" s="87"/>
      <c r="P4"/>
      <c r="Q4"/>
      <c r="R4"/>
      <c r="S4"/>
      <c r="T4"/>
      <c r="U4"/>
      <c r="V4" s="618">
        <v>0</v>
      </c>
      <c r="W4" s="624">
        <v>0</v>
      </c>
      <c r="Y4" s="621" t="s">
        <v>121</v>
      </c>
      <c r="Z4" s="622"/>
      <c r="AA4" s="623"/>
      <c r="AC4" s="728" t="s">
        <v>64</v>
      </c>
      <c r="AD4" s="619"/>
      <c r="AE4"/>
      <c r="AF4"/>
      <c r="AG4"/>
      <c r="AH4"/>
      <c r="AI4"/>
      <c r="AJ4"/>
      <c r="AK4"/>
      <c r="AL4"/>
      <c r="AM4"/>
      <c r="AN4"/>
      <c r="AO4"/>
      <c r="AX4" s="19"/>
    </row>
    <row r="5" spans="1:50" ht="15.75" customHeight="1">
      <c r="A5" s="236" t="s">
        <v>4</v>
      </c>
      <c r="B5" s="236"/>
      <c r="C5" s="236"/>
      <c r="D5" s="236"/>
      <c r="E5" s="236"/>
      <c r="F5" s="236"/>
      <c r="G5" s="112"/>
      <c r="H5" s="112"/>
      <c r="I5" s="112"/>
      <c r="J5" s="112"/>
      <c r="K5" s="112"/>
      <c r="L5" s="112"/>
      <c r="M5" s="112"/>
      <c r="N5" s="112"/>
      <c r="O5" s="112"/>
      <c r="P5"/>
      <c r="Q5"/>
      <c r="R5"/>
      <c r="S5"/>
      <c r="T5"/>
      <c r="U5"/>
      <c r="V5" s="509" t="s">
        <v>31</v>
      </c>
      <c r="W5" s="688">
        <v>1</v>
      </c>
      <c r="Y5" s="621" t="s">
        <v>123</v>
      </c>
      <c r="Z5" s="622"/>
      <c r="AA5" s="623"/>
      <c r="AC5" s="728" t="s">
        <v>208</v>
      </c>
      <c r="AD5" s="619"/>
      <c r="AE5"/>
      <c r="AF5"/>
      <c r="AG5"/>
      <c r="AH5"/>
      <c r="AI5"/>
      <c r="AJ5"/>
      <c r="AK5"/>
      <c r="AL5"/>
      <c r="AM5"/>
      <c r="AN5"/>
      <c r="AO5"/>
      <c r="AX5" s="19"/>
    </row>
    <row r="6" spans="1:42" ht="15.75">
      <c r="A6" s="37" t="s">
        <v>12</v>
      </c>
      <c r="B6" s="38" t="s">
        <v>13</v>
      </c>
      <c r="C6" s="39"/>
      <c r="D6" s="39"/>
      <c r="E6" s="249"/>
      <c r="F6" s="40"/>
      <c r="G6" s="788" t="s">
        <v>21</v>
      </c>
      <c r="H6" s="38" t="s">
        <v>14</v>
      </c>
      <c r="I6" s="41"/>
      <c r="J6" s="775" t="s">
        <v>458</v>
      </c>
      <c r="K6" s="776"/>
      <c r="L6" s="776"/>
      <c r="M6" s="776"/>
      <c r="N6" s="776"/>
      <c r="O6" s="777"/>
      <c r="P6"/>
      <c r="Q6"/>
      <c r="R6"/>
      <c r="S6"/>
      <c r="T6"/>
      <c r="U6"/>
      <c r="V6" s="618" t="s">
        <v>472</v>
      </c>
      <c r="W6" s="623">
        <v>0.8</v>
      </c>
      <c r="Y6" s="621" t="s">
        <v>125</v>
      </c>
      <c r="Z6" s="622"/>
      <c r="AA6" s="623"/>
      <c r="AC6" s="728" t="s">
        <v>310</v>
      </c>
      <c r="AD6" s="619"/>
      <c r="AE6"/>
      <c r="AF6"/>
      <c r="AG6"/>
      <c r="AH6"/>
      <c r="AI6"/>
      <c r="AJ6"/>
      <c r="AK6"/>
      <c r="AL6"/>
      <c r="AM6"/>
      <c r="AN6"/>
      <c r="AO6"/>
      <c r="AP6"/>
    </row>
    <row r="7" spans="1:48" ht="15.75">
      <c r="A7" s="42" t="s">
        <v>15</v>
      </c>
      <c r="B7" s="37" t="s">
        <v>16</v>
      </c>
      <c r="C7" s="43" t="s">
        <v>17</v>
      </c>
      <c r="D7" s="44" t="s">
        <v>18</v>
      </c>
      <c r="E7" s="21" t="s">
        <v>19</v>
      </c>
      <c r="F7" s="45" t="s">
        <v>20</v>
      </c>
      <c r="G7" s="789"/>
      <c r="H7" s="4" t="s">
        <v>22</v>
      </c>
      <c r="I7" s="46"/>
      <c r="J7" s="47"/>
      <c r="K7" s="47" t="s">
        <v>23</v>
      </c>
      <c r="L7" s="47"/>
      <c r="M7" s="10"/>
      <c r="N7" s="16" t="s">
        <v>24</v>
      </c>
      <c r="O7" s="18"/>
      <c r="P7"/>
      <c r="Q7" s="773" t="s">
        <v>450</v>
      </c>
      <c r="R7" s="773"/>
      <c r="S7" s="773"/>
      <c r="T7" s="625"/>
      <c r="U7"/>
      <c r="V7" s="618" t="s">
        <v>32</v>
      </c>
      <c r="W7" s="623">
        <v>0.4</v>
      </c>
      <c r="Y7" s="115" t="s">
        <v>481</v>
      </c>
      <c r="Z7" s="116"/>
      <c r="AA7" s="235"/>
      <c r="AC7" s="728" t="s">
        <v>209</v>
      </c>
      <c r="AD7" s="619"/>
      <c r="AE7"/>
      <c r="AF7"/>
      <c r="AG7"/>
      <c r="AH7"/>
      <c r="AI7"/>
      <c r="AJ7"/>
      <c r="AK7"/>
      <c r="AL7"/>
      <c r="AM7"/>
      <c r="AN7"/>
      <c r="AO7"/>
      <c r="AS7" s="19"/>
      <c r="AT7" s="19"/>
      <c r="AU7" s="19"/>
      <c r="AV7" s="5"/>
    </row>
    <row r="8" spans="1:48" ht="15.75">
      <c r="A8" s="48" t="s">
        <v>20</v>
      </c>
      <c r="B8" s="48" t="s">
        <v>25</v>
      </c>
      <c r="C8" s="49" t="s">
        <v>25</v>
      </c>
      <c r="D8" s="50" t="s">
        <v>25</v>
      </c>
      <c r="E8" s="26" t="s">
        <v>26</v>
      </c>
      <c r="F8" s="49" t="s">
        <v>27</v>
      </c>
      <c r="G8" s="790"/>
      <c r="H8" s="51" t="s">
        <v>23</v>
      </c>
      <c r="I8" s="52" t="s">
        <v>24</v>
      </c>
      <c r="J8" s="51" t="s">
        <v>16</v>
      </c>
      <c r="K8" s="53" t="s">
        <v>17</v>
      </c>
      <c r="L8" s="53" t="s">
        <v>18</v>
      </c>
      <c r="M8" s="51" t="s">
        <v>16</v>
      </c>
      <c r="N8" s="53" t="s">
        <v>17</v>
      </c>
      <c r="O8" s="52" t="s">
        <v>18</v>
      </c>
      <c r="P8"/>
      <c r="R8" s="27" t="s">
        <v>451</v>
      </c>
      <c r="S8" s="19"/>
      <c r="T8"/>
      <c r="U8"/>
      <c r="V8" s="618" t="s">
        <v>29</v>
      </c>
      <c r="W8" s="623">
        <v>1.4</v>
      </c>
      <c r="Y8" s="621" t="s">
        <v>126</v>
      </c>
      <c r="Z8" s="622"/>
      <c r="AA8" s="623"/>
      <c r="AC8" s="728" t="s">
        <v>496</v>
      </c>
      <c r="AD8" s="619"/>
      <c r="AE8"/>
      <c r="AF8"/>
      <c r="AG8"/>
      <c r="AH8"/>
      <c r="AI8"/>
      <c r="AJ8"/>
      <c r="AK8"/>
      <c r="AL8"/>
      <c r="AM8"/>
      <c r="AN8"/>
      <c r="AO8"/>
      <c r="AS8" s="19"/>
      <c r="AT8" s="188"/>
      <c r="AU8" s="19"/>
      <c r="AV8" s="5"/>
    </row>
    <row r="9" spans="1:48" ht="15.75">
      <c r="A9" s="95" t="s">
        <v>28</v>
      </c>
      <c r="B9" s="370">
        <f>IF(A9=" "," ",VLOOKUP($A9,'Dry Prod. Values'!$A$4:$G$23,2,TRUE))</f>
        <v>0.45</v>
      </c>
      <c r="C9" s="370">
        <f>IF(A9=" "," ",VLOOKUP($A9,'Dry Prod. Values'!$A$4:$G$23,3,TRUE))</f>
        <v>0.16</v>
      </c>
      <c r="D9" s="370">
        <f>IF(A9=" "," ",VLOOKUP($A9,'Dry Prod. Values'!$A$4:$G$23,4,TRUE))</f>
        <v>0.31</v>
      </c>
      <c r="E9" s="371">
        <f>IF(A9=" "," ",VLOOKUP($A9,'Dry Prod. Values'!$A$4:$G$23,5,TRUE))</f>
        <v>1.29</v>
      </c>
      <c r="F9" s="96">
        <v>107</v>
      </c>
      <c r="G9" s="232">
        <v>1.4</v>
      </c>
      <c r="H9" s="444">
        <v>0</v>
      </c>
      <c r="I9" s="444">
        <v>365</v>
      </c>
      <c r="J9" s="54">
        <f>IF(B9="","",(B9*$F9*$G9*$H9)*($C$22*$C$23*$C$24*$C$25))</f>
        <v>0</v>
      </c>
      <c r="K9" s="54">
        <f aca="true" t="shared" si="0" ref="K9:K16">(C9*$F9*$G9*$H9)*($D$22*$D$23*$D$24*$D$25)</f>
        <v>0</v>
      </c>
      <c r="L9" s="54">
        <f aca="true" t="shared" si="1" ref="L9:L16">(D9*$F9*$G9*$H9)*($E$22*$E$23*$E$24*$E$25)</f>
        <v>0</v>
      </c>
      <c r="M9" s="54">
        <f>(B9*$F9*$G9*$I9)*($F$22*$F$23*$F$24*$F$25)</f>
        <v>7829.416150919999</v>
      </c>
      <c r="N9" s="54">
        <f aca="true" t="shared" si="2" ref="N9:N16">(C9*$F9*$G9*$I9)*($G$22*$G$23*$G$24*$G$25)</f>
        <v>7086.1392000000005</v>
      </c>
      <c r="O9" s="55">
        <f aca="true" t="shared" si="3" ref="O9:O16">(D9*$F9*$G9*$I9)*($H$22*$H$23*$H$24*$H$25)</f>
        <v>14187.041190000004</v>
      </c>
      <c r="P9"/>
      <c r="R9" s="627">
        <f aca="true" t="shared" si="4" ref="R9:R16">E9*F9*G9*I9</f>
        <v>70533.33</v>
      </c>
      <c r="S9" s="19"/>
      <c r="T9"/>
      <c r="U9"/>
      <c r="V9" s="618" t="s">
        <v>28</v>
      </c>
      <c r="W9" s="623">
        <v>1.4</v>
      </c>
      <c r="Y9" s="621" t="s">
        <v>127</v>
      </c>
      <c r="Z9" s="622"/>
      <c r="AA9" s="623"/>
      <c r="AC9" s="729" t="s">
        <v>307</v>
      </c>
      <c r="AD9" s="619"/>
      <c r="AE9"/>
      <c r="AF9"/>
      <c r="AG9"/>
      <c r="AH9"/>
      <c r="AI9"/>
      <c r="AJ9"/>
      <c r="AK9"/>
      <c r="AL9"/>
      <c r="AM9"/>
      <c r="AN9"/>
      <c r="AO9"/>
      <c r="AS9" s="19"/>
      <c r="AT9" s="188"/>
      <c r="AU9" s="19"/>
      <c r="AV9" s="5"/>
    </row>
    <row r="10" spans="1:48" ht="15.75">
      <c r="A10" s="95" t="s">
        <v>29</v>
      </c>
      <c r="B10" s="370">
        <f>IF(A10=" "," ",VLOOKUP($A10,'Dry Prod. Values'!$A$4:$G$23,2,TRUE))</f>
        <v>0.36</v>
      </c>
      <c r="C10" s="370">
        <f>IF(A10=" "," ",VLOOKUP($A10,'Dry Prod. Values'!$A$4:$G$23,3,TRUE))</f>
        <v>0.11</v>
      </c>
      <c r="D10" s="370">
        <f>IF(A10=" "," ",VLOOKUP($A10,'Dry Prod. Values'!$A$4:$G$23,4,TRUE))</f>
        <v>0.28</v>
      </c>
      <c r="E10" s="372">
        <f>IF(A10=" "," ",VLOOKUP($A10,'Dry Prod. Values'!$A$4:$G$23,5,TRUE))</f>
        <v>1.32</v>
      </c>
      <c r="F10" s="96">
        <v>35</v>
      </c>
      <c r="G10" s="232">
        <v>1.4</v>
      </c>
      <c r="H10" s="444">
        <v>185</v>
      </c>
      <c r="I10" s="444">
        <v>180</v>
      </c>
      <c r="J10" s="54">
        <f aca="true" t="shared" si="5" ref="J10:J16">(B10*$F10*$G10*$H10)*($C$22*$C$23*$C$24*$C$25)</f>
        <v>1490.8516559999998</v>
      </c>
      <c r="K10" s="54">
        <f t="shared" si="0"/>
        <v>787.7485</v>
      </c>
      <c r="L10" s="54">
        <f t="shared" si="1"/>
        <v>2106.706</v>
      </c>
      <c r="M10" s="54">
        <f aca="true" t="shared" si="6" ref="M10:M16">(B10*$F10*$G10*$I10)*($F$22*$F$23*$F$24*$F$25)</f>
        <v>1010.3765817599998</v>
      </c>
      <c r="N10" s="54">
        <f t="shared" si="2"/>
        <v>785.862</v>
      </c>
      <c r="O10" s="55">
        <f t="shared" si="3"/>
        <v>2067.0552000000002</v>
      </c>
      <c r="P10"/>
      <c r="R10" s="627">
        <f t="shared" si="4"/>
        <v>11642.400000000001</v>
      </c>
      <c r="S10" s="19"/>
      <c r="T10"/>
      <c r="U10"/>
      <c r="V10" s="618" t="s">
        <v>92</v>
      </c>
      <c r="W10" s="623">
        <v>0.03</v>
      </c>
      <c r="Y10" s="621" t="s">
        <v>128</v>
      </c>
      <c r="Z10" s="622"/>
      <c r="AA10" s="623"/>
      <c r="AC10" s="728" t="s">
        <v>497</v>
      </c>
      <c r="AD10" s="619"/>
      <c r="AE10"/>
      <c r="AF10"/>
      <c r="AG10"/>
      <c r="AH10"/>
      <c r="AI10"/>
      <c r="AJ10"/>
      <c r="AK10"/>
      <c r="AL10"/>
      <c r="AM10"/>
      <c r="AN10"/>
      <c r="AO10"/>
      <c r="AS10" s="19"/>
      <c r="AT10" s="188"/>
      <c r="AU10" s="19"/>
      <c r="AV10" s="5"/>
    </row>
    <row r="11" spans="1:48" ht="15.75">
      <c r="A11" s="95" t="s">
        <v>30</v>
      </c>
      <c r="B11" s="370">
        <f>IF(A11=" "," ",VLOOKUP($A11,'Dry Prod. Values'!$A$4:$G$23,2,TRUE))</f>
        <v>0.31</v>
      </c>
      <c r="C11" s="370">
        <f>IF(A11=" "," ",VLOOKUP($A11,'Dry Prod. Values'!$A$4:$G$23,3,TRUE))</f>
        <v>0.09</v>
      </c>
      <c r="D11" s="370">
        <f>IF(A11=" "," ",VLOOKUP($A11,'Dry Prod. Values'!$A$4:$G$23,4,TRUE))</f>
        <v>0.29</v>
      </c>
      <c r="E11" s="372">
        <f>IF(A11=" "," ",VLOOKUP($A11,'Dry Prod. Values'!$A$4:$G$23,5,TRUE))</f>
        <v>1.37</v>
      </c>
      <c r="F11" s="96">
        <v>75</v>
      </c>
      <c r="G11" s="232">
        <v>0.6</v>
      </c>
      <c r="H11" s="444">
        <v>185</v>
      </c>
      <c r="I11" s="444">
        <v>180</v>
      </c>
      <c r="J11" s="54">
        <f t="shared" si="5"/>
        <v>1178.98983</v>
      </c>
      <c r="K11" s="54">
        <f t="shared" si="0"/>
        <v>591.9075</v>
      </c>
      <c r="L11" s="54">
        <f t="shared" si="1"/>
        <v>2003.8274999999999</v>
      </c>
      <c r="M11" s="54">
        <f t="shared" si="6"/>
        <v>799.0222968</v>
      </c>
      <c r="N11" s="54">
        <f t="shared" si="2"/>
        <v>590.49</v>
      </c>
      <c r="O11" s="55">
        <f t="shared" si="3"/>
        <v>1966.1130000000003</v>
      </c>
      <c r="P11"/>
      <c r="R11" s="627">
        <f t="shared" si="4"/>
        <v>11097.000000000002</v>
      </c>
      <c r="S11" s="19"/>
      <c r="T11"/>
      <c r="U11"/>
      <c r="V11" s="618" t="s">
        <v>93</v>
      </c>
      <c r="W11" s="623">
        <v>0.125</v>
      </c>
      <c r="Y11" s="621" t="s">
        <v>130</v>
      </c>
      <c r="Z11" s="622"/>
      <c r="AA11" s="623"/>
      <c r="AC11" s="728" t="s">
        <v>498</v>
      </c>
      <c r="AD11" s="619"/>
      <c r="AE11"/>
      <c r="AF11"/>
      <c r="AG11"/>
      <c r="AH11"/>
      <c r="AI11"/>
      <c r="AJ11"/>
      <c r="AK11"/>
      <c r="AL11"/>
      <c r="AM11"/>
      <c r="AN11"/>
      <c r="AO11"/>
      <c r="AS11" s="19"/>
      <c r="AT11"/>
      <c r="AU11" s="19"/>
      <c r="AV11" s="5"/>
    </row>
    <row r="12" spans="1:48" ht="15.75">
      <c r="A12" s="95"/>
      <c r="B12" s="370">
        <f>IF(A12=" "," ",VLOOKUP($A12,'Dry Prod. Values'!$A$4:$G$23,2,TRUE))</f>
        <v>0</v>
      </c>
      <c r="C12" s="370">
        <f>IF(A12=" "," ",VLOOKUP($A12,'Dry Prod. Values'!$A$4:$G$23,3,TRUE))</f>
        <v>0</v>
      </c>
      <c r="D12" s="370">
        <f>IF(A12=" "," ",VLOOKUP($A12,'Dry Prod. Values'!$A$4:$G$23,4,TRUE))</f>
        <v>0</v>
      </c>
      <c r="E12" s="372">
        <f>IF(A12=" "," ",VLOOKUP($A12,'Dry Prod. Values'!$A$4:$G$23,5,TRUE))</f>
        <v>0</v>
      </c>
      <c r="F12" s="96"/>
      <c r="G12" s="232"/>
      <c r="H12" s="444"/>
      <c r="I12" s="444"/>
      <c r="J12" s="54">
        <f t="shared" si="5"/>
        <v>0</v>
      </c>
      <c r="K12" s="54">
        <f t="shared" si="0"/>
        <v>0</v>
      </c>
      <c r="L12" s="54">
        <f t="shared" si="1"/>
        <v>0</v>
      </c>
      <c r="M12" s="54">
        <f t="shared" si="6"/>
        <v>0</v>
      </c>
      <c r="N12" s="54">
        <f t="shared" si="2"/>
        <v>0</v>
      </c>
      <c r="O12" s="55">
        <f t="shared" si="3"/>
        <v>0</v>
      </c>
      <c r="P12"/>
      <c r="R12" s="627">
        <f t="shared" si="4"/>
        <v>0</v>
      </c>
      <c r="S12" s="19"/>
      <c r="T12"/>
      <c r="U12"/>
      <c r="V12" s="618" t="s">
        <v>30</v>
      </c>
      <c r="W12" s="623">
        <v>0.6</v>
      </c>
      <c r="Y12" s="621" t="s">
        <v>131</v>
      </c>
      <c r="Z12" s="622"/>
      <c r="AA12" s="623"/>
      <c r="AC12" s="728" t="s">
        <v>471</v>
      </c>
      <c r="AD12" s="619"/>
      <c r="AE12"/>
      <c r="AF12"/>
      <c r="AG12"/>
      <c r="AH12"/>
      <c r="AI12"/>
      <c r="AJ12"/>
      <c r="AK12"/>
      <c r="AL12"/>
      <c r="AM12"/>
      <c r="AN12"/>
      <c r="AO12"/>
      <c r="AS12" s="19"/>
      <c r="AT12"/>
      <c r="AU12" s="19"/>
      <c r="AV12" s="5"/>
    </row>
    <row r="13" spans="1:48" ht="15.75">
      <c r="A13" s="95"/>
      <c r="B13" s="370">
        <f>IF(A13=" "," ",VLOOKUP($A13,'Dry Prod. Values'!$A$4:$G$23,2,TRUE))</f>
        <v>0</v>
      </c>
      <c r="C13" s="370">
        <f>IF(A13=" "," ",VLOOKUP($A13,'Dry Prod. Values'!$A$4:$G$23,3,TRUE))</f>
        <v>0</v>
      </c>
      <c r="D13" s="370">
        <f>IF(A13=" "," ",VLOOKUP($A13,'Dry Prod. Values'!$A$4:$G$23,4,TRUE))</f>
        <v>0</v>
      </c>
      <c r="E13" s="372">
        <f>IF(A13=" "," ",VLOOKUP($A13,'Dry Prod. Values'!$A$4:$G$23,5,TRUE))</f>
        <v>0</v>
      </c>
      <c r="F13" s="96"/>
      <c r="G13" s="232"/>
      <c r="H13" s="444"/>
      <c r="I13" s="444"/>
      <c r="J13" s="54">
        <f t="shared" si="5"/>
        <v>0</v>
      </c>
      <c r="K13" s="54">
        <f t="shared" si="0"/>
        <v>0</v>
      </c>
      <c r="L13" s="54">
        <f t="shared" si="1"/>
        <v>0</v>
      </c>
      <c r="M13" s="54">
        <f t="shared" si="6"/>
        <v>0</v>
      </c>
      <c r="N13" s="54">
        <f t="shared" si="2"/>
        <v>0</v>
      </c>
      <c r="O13" s="55">
        <f t="shared" si="3"/>
        <v>0</v>
      </c>
      <c r="P13"/>
      <c r="R13" s="627">
        <f t="shared" si="4"/>
        <v>0</v>
      </c>
      <c r="S13" s="19"/>
      <c r="T13"/>
      <c r="U13"/>
      <c r="V13" s="618" t="s">
        <v>33</v>
      </c>
      <c r="W13" s="623">
        <v>1.5</v>
      </c>
      <c r="Y13" s="621" t="s">
        <v>133</v>
      </c>
      <c r="Z13" s="622"/>
      <c r="AA13" s="623"/>
      <c r="AC13" s="728" t="s">
        <v>210</v>
      </c>
      <c r="AD13" s="619"/>
      <c r="AE13"/>
      <c r="AF13"/>
      <c r="AG13"/>
      <c r="AH13"/>
      <c r="AI13"/>
      <c r="AJ13"/>
      <c r="AK13"/>
      <c r="AL13"/>
      <c r="AM13"/>
      <c r="AN13"/>
      <c r="AO13"/>
      <c r="AS13" s="19"/>
      <c r="AT13"/>
      <c r="AU13" s="19"/>
      <c r="AV13" s="5"/>
    </row>
    <row r="14" spans="1:48" ht="15.75">
      <c r="A14" s="95">
        <v>0</v>
      </c>
      <c r="B14" s="370">
        <f>IF(A14=" "," ",VLOOKUP($A14,'Dry Prod. Values'!$A$4:$G$23,2,TRUE))</f>
        <v>0</v>
      </c>
      <c r="C14" s="370">
        <f>IF(A14=" "," ",VLOOKUP($A14,'Dry Prod. Values'!$A$4:$G$23,3,TRUE))</f>
        <v>0</v>
      </c>
      <c r="D14" s="370">
        <f>IF(A14=" "," ",VLOOKUP($A14,'Dry Prod. Values'!$A$4:$G$23,4,TRUE))</f>
        <v>0</v>
      </c>
      <c r="E14" s="372">
        <f>IF(A14=" "," ",VLOOKUP($A14,'Dry Prod. Values'!$A$4:$G$23,5,TRUE))</f>
        <v>0</v>
      </c>
      <c r="F14" s="96"/>
      <c r="G14" s="232"/>
      <c r="H14" s="444"/>
      <c r="I14" s="444"/>
      <c r="J14" s="54">
        <f t="shared" si="5"/>
        <v>0</v>
      </c>
      <c r="K14" s="54">
        <f t="shared" si="0"/>
        <v>0</v>
      </c>
      <c r="L14" s="54">
        <f t="shared" si="1"/>
        <v>0</v>
      </c>
      <c r="M14" s="54">
        <f t="shared" si="6"/>
        <v>0</v>
      </c>
      <c r="N14" s="54">
        <f t="shared" si="2"/>
        <v>0</v>
      </c>
      <c r="O14" s="55">
        <f t="shared" si="3"/>
        <v>0</v>
      </c>
      <c r="P14"/>
      <c r="R14" s="627">
        <f t="shared" si="4"/>
        <v>0</v>
      </c>
      <c r="S14" s="19"/>
      <c r="T14"/>
      <c r="U14"/>
      <c r="V14" s="618" t="s">
        <v>94</v>
      </c>
      <c r="W14" s="623">
        <v>0.035</v>
      </c>
      <c r="Y14" s="621" t="s">
        <v>135</v>
      </c>
      <c r="Z14" s="622"/>
      <c r="AA14" s="623"/>
      <c r="AC14" s="728" t="s">
        <v>68</v>
      </c>
      <c r="AD14" s="619"/>
      <c r="AE14"/>
      <c r="AF14"/>
      <c r="AG14"/>
      <c r="AH14"/>
      <c r="AI14"/>
      <c r="AJ14"/>
      <c r="AK14"/>
      <c r="AL14"/>
      <c r="AM14"/>
      <c r="AN14"/>
      <c r="AO14"/>
      <c r="AS14" s="19"/>
      <c r="AT14"/>
      <c r="AU14" s="19"/>
      <c r="AV14" s="5"/>
    </row>
    <row r="15" spans="1:48" ht="15.75">
      <c r="A15" s="95">
        <v>0</v>
      </c>
      <c r="B15" s="370">
        <f>IF(A15=" "," ",VLOOKUP($A15,'Dry Prod. Values'!$A$4:$G$23,2,TRUE))</f>
        <v>0</v>
      </c>
      <c r="C15" s="370">
        <f>IF(A15=" "," ",VLOOKUP($A15,'Dry Prod. Values'!$A$4:$G$23,3,TRUE))</f>
        <v>0</v>
      </c>
      <c r="D15" s="370">
        <f>IF(A15=" "," ",VLOOKUP($A15,'Dry Prod. Values'!$A$4:$G$23,4,TRUE))</f>
        <v>0</v>
      </c>
      <c r="E15" s="373">
        <f>IF(A15=" "," ",VLOOKUP($A15,'Dry Prod. Values'!$A$4:$G$23,5,TRUE))</f>
        <v>0</v>
      </c>
      <c r="F15" s="96">
        <v>0</v>
      </c>
      <c r="G15" s="232">
        <v>0</v>
      </c>
      <c r="H15" s="444">
        <v>0</v>
      </c>
      <c r="I15" s="444">
        <v>0</v>
      </c>
      <c r="J15" s="54">
        <f t="shared" si="5"/>
        <v>0</v>
      </c>
      <c r="K15" s="54">
        <f t="shared" si="0"/>
        <v>0</v>
      </c>
      <c r="L15" s="54">
        <f t="shared" si="1"/>
        <v>0</v>
      </c>
      <c r="M15" s="54">
        <f t="shared" si="6"/>
        <v>0</v>
      </c>
      <c r="N15" s="54">
        <f t="shared" si="2"/>
        <v>0</v>
      </c>
      <c r="O15" s="55">
        <f t="shared" si="3"/>
        <v>0</v>
      </c>
      <c r="P15"/>
      <c r="R15" s="627">
        <f t="shared" si="4"/>
        <v>0</v>
      </c>
      <c r="S15" s="19"/>
      <c r="T15"/>
      <c r="U15"/>
      <c r="V15" s="618" t="s">
        <v>95</v>
      </c>
      <c r="W15" s="623">
        <v>0.015</v>
      </c>
      <c r="Y15" s="621" t="s">
        <v>37</v>
      </c>
      <c r="Z15" s="622"/>
      <c r="AA15" s="623"/>
      <c r="AC15" s="728" t="s">
        <v>499</v>
      </c>
      <c r="AD15" s="619"/>
      <c r="AE15"/>
      <c r="AF15"/>
      <c r="AG15"/>
      <c r="AH15"/>
      <c r="AI15"/>
      <c r="AJ15"/>
      <c r="AK15"/>
      <c r="AL15"/>
      <c r="AM15"/>
      <c r="AN15"/>
      <c r="AO15"/>
      <c r="AS15" s="19"/>
      <c r="AT15"/>
      <c r="AU15" s="19"/>
      <c r="AV15" s="5"/>
    </row>
    <row r="16" spans="1:48" ht="15.75">
      <c r="A16" s="626">
        <v>0</v>
      </c>
      <c r="B16" s="374">
        <f>IF(A16=" "," ",VLOOKUP($A16,'Dry Prod. Values'!$A$4:$G$23,2,TRUE))</f>
        <v>0</v>
      </c>
      <c r="C16" s="374">
        <f>IF(A16=" "," ",VLOOKUP($A16,'Dry Prod. Values'!$A$4:$G$23,3,TRUE))</f>
        <v>0</v>
      </c>
      <c r="D16" s="374">
        <f>IF(A16=" "," ",VLOOKUP($A16,'Dry Prod. Values'!$A$4:$G$23,4,TRUE))</f>
        <v>0</v>
      </c>
      <c r="E16" s="373">
        <f>IF(A16=" "," ",VLOOKUP($A16,'Dry Prod. Values'!$A$4:$G$23,5,TRUE))</f>
        <v>0</v>
      </c>
      <c r="F16" s="97">
        <v>0</v>
      </c>
      <c r="G16" s="233">
        <v>0</v>
      </c>
      <c r="H16" s="487">
        <v>0</v>
      </c>
      <c r="I16" s="444">
        <v>0</v>
      </c>
      <c r="J16" s="54">
        <f t="shared" si="5"/>
        <v>0</v>
      </c>
      <c r="K16" s="54">
        <f t="shared" si="0"/>
        <v>0</v>
      </c>
      <c r="L16" s="54">
        <f t="shared" si="1"/>
        <v>0</v>
      </c>
      <c r="M16" s="54">
        <f t="shared" si="6"/>
        <v>0</v>
      </c>
      <c r="N16" s="54">
        <f t="shared" si="2"/>
        <v>0</v>
      </c>
      <c r="O16" s="55">
        <f t="shared" si="3"/>
        <v>0</v>
      </c>
      <c r="P16"/>
      <c r="R16" s="627">
        <f t="shared" si="4"/>
        <v>0</v>
      </c>
      <c r="S16" s="19"/>
      <c r="T16"/>
      <c r="U16"/>
      <c r="V16" s="618" t="s">
        <v>96</v>
      </c>
      <c r="W16" s="623">
        <v>0.16</v>
      </c>
      <c r="Y16" s="621" t="s">
        <v>136</v>
      </c>
      <c r="Z16" s="622"/>
      <c r="AA16" s="623"/>
      <c r="AC16" s="728" t="s">
        <v>500</v>
      </c>
      <c r="AD16" s="619"/>
      <c r="AE16"/>
      <c r="AF16"/>
      <c r="AG16"/>
      <c r="AH16"/>
      <c r="AI16"/>
      <c r="AJ16"/>
      <c r="AK16"/>
      <c r="AL16"/>
      <c r="AM16"/>
      <c r="AN16"/>
      <c r="AO16"/>
      <c r="AS16" s="19"/>
      <c r="AT16" s="188"/>
      <c r="AU16" s="19"/>
      <c r="AV16" s="5"/>
    </row>
    <row r="17" spans="1:49" ht="15.75">
      <c r="A17" s="33"/>
      <c r="B17" s="33"/>
      <c r="C17" s="33"/>
      <c r="D17" s="33"/>
      <c r="E17" s="250" t="s">
        <v>34</v>
      </c>
      <c r="F17" s="235"/>
      <c r="G17" s="554">
        <f>(F9*G9+F10*G10+F11*G11+F12*G12+F13*G13+F14*G14+F15*G15+F16*G16)</f>
        <v>243.79999999999998</v>
      </c>
      <c r="H17" s="56"/>
      <c r="I17" s="251" t="s">
        <v>35</v>
      </c>
      <c r="J17" s="493">
        <f>SUM(J9:J16)</f>
        <v>2669.841486</v>
      </c>
      <c r="K17" s="493">
        <f>SUM(K9:K16)</f>
        <v>1379.656</v>
      </c>
      <c r="L17" s="493">
        <f>SUM(L9:L16)</f>
        <v>4110.5335</v>
      </c>
      <c r="M17" s="493">
        <f>SUM(M8:M16)</f>
        <v>9638.81502948</v>
      </c>
      <c r="N17" s="493">
        <f>SUM(N8:N16)</f>
        <v>8462.4912</v>
      </c>
      <c r="O17" s="494">
        <f>SUM(O8:O16)</f>
        <v>18220.209390000004</v>
      </c>
      <c r="R17" s="627">
        <f>SUM(R9:R16)</f>
        <v>93272.73000000001</v>
      </c>
      <c r="S17" s="19"/>
      <c r="T17"/>
      <c r="U17"/>
      <c r="V17" s="618" t="s">
        <v>97</v>
      </c>
      <c r="W17" s="623">
        <v>0.4</v>
      </c>
      <c r="Y17" s="621" t="s">
        <v>137</v>
      </c>
      <c r="Z17" s="622"/>
      <c r="AA17" s="623"/>
      <c r="AC17" s="728" t="s">
        <v>501</v>
      </c>
      <c r="AD17" s="619"/>
      <c r="AE17"/>
      <c r="AF17"/>
      <c r="AG17"/>
      <c r="AH17"/>
      <c r="AI17"/>
      <c r="AJ17"/>
      <c r="AK17"/>
      <c r="AL17"/>
      <c r="AM17"/>
      <c r="AN17"/>
      <c r="AO17"/>
      <c r="AS17" s="19"/>
      <c r="AT17" s="188"/>
      <c r="AU17" s="24"/>
      <c r="AV17" s="211"/>
      <c r="AW17" s="212"/>
    </row>
    <row r="18" spans="1:49" ht="15.75">
      <c r="A18" s="236"/>
      <c r="B18" s="236"/>
      <c r="C18" s="236"/>
      <c r="D18" s="236"/>
      <c r="E18" s="236"/>
      <c r="F18" s="236"/>
      <c r="G18" s="236"/>
      <c r="H18" s="236"/>
      <c r="I18" s="236"/>
      <c r="J18" s="236"/>
      <c r="K18" s="236"/>
      <c r="L18" s="236"/>
      <c r="M18" s="236"/>
      <c r="N18" s="236"/>
      <c r="O18" s="19"/>
      <c r="Q18"/>
      <c r="R18"/>
      <c r="S18"/>
      <c r="T18"/>
      <c r="U18"/>
      <c r="V18" s="618" t="s">
        <v>98</v>
      </c>
      <c r="W18" s="623">
        <v>0.4</v>
      </c>
      <c r="Y18" s="621" t="s">
        <v>138</v>
      </c>
      <c r="Z18" s="622"/>
      <c r="AA18" s="623"/>
      <c r="AC18" s="728" t="s">
        <v>502</v>
      </c>
      <c r="AD18" s="619"/>
      <c r="AE18"/>
      <c r="AF18"/>
      <c r="AG18"/>
      <c r="AH18"/>
      <c r="AI18"/>
      <c r="AJ18"/>
      <c r="AK18"/>
      <c r="AL18"/>
      <c r="AM18"/>
      <c r="AN18"/>
      <c r="AO18"/>
      <c r="AU18" s="24"/>
      <c r="AV18" s="212"/>
      <c r="AW18" s="212"/>
    </row>
    <row r="19" spans="1:47" ht="15.75">
      <c r="A19" s="25"/>
      <c r="C19" s="794" t="s">
        <v>410</v>
      </c>
      <c r="D19" s="794"/>
      <c r="E19" s="794"/>
      <c r="F19" s="794"/>
      <c r="G19" s="794"/>
      <c r="H19" s="794"/>
      <c r="I19" s="27"/>
      <c r="J19" s="794" t="s">
        <v>302</v>
      </c>
      <c r="K19" s="794"/>
      <c r="L19" s="794"/>
      <c r="M19" s="794"/>
      <c r="N19" s="794"/>
      <c r="O19" s="794"/>
      <c r="P19" s="3"/>
      <c r="Q19"/>
      <c r="R19"/>
      <c r="S19"/>
      <c r="T19"/>
      <c r="U19"/>
      <c r="V19" s="618" t="s">
        <v>99</v>
      </c>
      <c r="W19" s="623">
        <v>0.135</v>
      </c>
      <c r="Y19" s="504"/>
      <c r="Z19" s="504"/>
      <c r="AA19" s="504"/>
      <c r="AC19" s="728" t="s">
        <v>66</v>
      </c>
      <c r="AD19" s="619"/>
      <c r="AE19"/>
      <c r="AF19"/>
      <c r="AG19"/>
      <c r="AH19"/>
      <c r="AI19"/>
      <c r="AJ19"/>
      <c r="AK19"/>
      <c r="AL19"/>
      <c r="AM19"/>
      <c r="AN19"/>
      <c r="AO19"/>
      <c r="AU19" s="24"/>
    </row>
    <row r="20" spans="1:47" ht="15.75">
      <c r="A20" s="25"/>
      <c r="B20" s="25"/>
      <c r="C20" s="775" t="s">
        <v>23</v>
      </c>
      <c r="D20" s="776"/>
      <c r="E20" s="777"/>
      <c r="F20" s="775" t="s">
        <v>24</v>
      </c>
      <c r="G20" s="776"/>
      <c r="H20" s="777"/>
      <c r="I20" s="19"/>
      <c r="J20" s="230" t="s">
        <v>36</v>
      </c>
      <c r="K20" s="231"/>
      <c r="L20" s="755" t="s">
        <v>37</v>
      </c>
      <c r="M20" s="756"/>
      <c r="N20" s="58" t="s">
        <v>38</v>
      </c>
      <c r="O20" s="710">
        <f>IF(L20=" "," ",VLOOKUP($L20,'Dry Prod. Values'!A42:F57,5,TRUE))</f>
        <v>5</v>
      </c>
      <c r="P20" s="3"/>
      <c r="Q20"/>
      <c r="R20"/>
      <c r="S20"/>
      <c r="T20"/>
      <c r="U20"/>
      <c r="V20" s="618" t="s">
        <v>100</v>
      </c>
      <c r="W20" s="623">
        <v>0.4</v>
      </c>
      <c r="Y20" s="504"/>
      <c r="Z20" s="504"/>
      <c r="AA20" s="504"/>
      <c r="AC20" s="728" t="s">
        <v>67</v>
      </c>
      <c r="AD20" s="619"/>
      <c r="AE20"/>
      <c r="AF20"/>
      <c r="AG20"/>
      <c r="AH20"/>
      <c r="AI20"/>
      <c r="AJ20"/>
      <c r="AK20"/>
      <c r="AL20"/>
      <c r="AM20"/>
      <c r="AN20"/>
      <c r="AO20"/>
      <c r="AU20" s="24"/>
    </row>
    <row r="21" spans="1:41" ht="15.75">
      <c r="A21" s="786" t="s">
        <v>39</v>
      </c>
      <c r="B21" s="787"/>
      <c r="C21" s="57" t="s">
        <v>16</v>
      </c>
      <c r="D21" s="57" t="s">
        <v>40</v>
      </c>
      <c r="E21" s="57" t="s">
        <v>41</v>
      </c>
      <c r="F21" s="57" t="s">
        <v>16</v>
      </c>
      <c r="G21" s="57" t="s">
        <v>17</v>
      </c>
      <c r="H21" s="57" t="s">
        <v>18</v>
      </c>
      <c r="I21" s="19"/>
      <c r="J21" s="57" t="s">
        <v>42</v>
      </c>
      <c r="K21" s="25" t="s">
        <v>43</v>
      </c>
      <c r="L21" s="58" t="s">
        <v>44</v>
      </c>
      <c r="M21" s="220" t="s">
        <v>45</v>
      </c>
      <c r="N21" s="19" t="s">
        <v>46</v>
      </c>
      <c r="O21" s="219" t="s">
        <v>47</v>
      </c>
      <c r="P21" s="3"/>
      <c r="Q21"/>
      <c r="R21"/>
      <c r="S21"/>
      <c r="T21"/>
      <c r="U21"/>
      <c r="V21" s="618" t="s">
        <v>101</v>
      </c>
      <c r="W21" s="623">
        <v>0.02</v>
      </c>
      <c r="Y21" s="504"/>
      <c r="Z21" s="504"/>
      <c r="AA21" s="504"/>
      <c r="AC21" s="728" t="s">
        <v>305</v>
      </c>
      <c r="AD21" s="619"/>
      <c r="AE21"/>
      <c r="AF21"/>
      <c r="AG21"/>
      <c r="AH21"/>
      <c r="AI21"/>
      <c r="AJ21"/>
      <c r="AK21"/>
      <c r="AL21"/>
      <c r="AM21"/>
      <c r="AN21"/>
      <c r="AO21"/>
    </row>
    <row r="22" spans="1:41" ht="15.75">
      <c r="A22" s="59" t="s">
        <v>48</v>
      </c>
      <c r="B22" s="17"/>
      <c r="C22" s="665">
        <v>1</v>
      </c>
      <c r="D22" s="663">
        <v>1</v>
      </c>
      <c r="E22" s="664">
        <v>1</v>
      </c>
      <c r="F22" s="99">
        <v>0.62</v>
      </c>
      <c r="G22" s="99">
        <v>0.9</v>
      </c>
      <c r="H22" s="100">
        <v>0.9</v>
      </c>
      <c r="I22" s="19"/>
      <c r="J22" s="582">
        <v>244</v>
      </c>
      <c r="K22" s="221">
        <v>365</v>
      </c>
      <c r="L22" s="217">
        <v>4.7</v>
      </c>
      <c r="M22" s="218">
        <v>12</v>
      </c>
      <c r="N22" s="222">
        <f>IF(ISERR(J22*K22*L22/O20/2000),"0",J22*K22*L22/O20/2000)</f>
        <v>41.8582</v>
      </c>
      <c r="O22" s="226">
        <f>IF(ISERR(N22*2000/O20/27),"0",N22*2000/O20/27)</f>
        <v>620.1214814814814</v>
      </c>
      <c r="P22" s="3"/>
      <c r="Q22"/>
      <c r="R22"/>
      <c r="S22"/>
      <c r="T22"/>
      <c r="U22"/>
      <c r="V22" s="618" t="s">
        <v>102</v>
      </c>
      <c r="W22" s="623">
        <v>0.016</v>
      </c>
      <c r="Y22" s="504"/>
      <c r="Z22" s="504"/>
      <c r="AA22" s="504"/>
      <c r="AC22" s="728" t="s">
        <v>211</v>
      </c>
      <c r="AD22" s="619"/>
      <c r="AE22"/>
      <c r="AF22"/>
      <c r="AG22"/>
      <c r="AH22"/>
      <c r="AI22"/>
      <c r="AJ22"/>
      <c r="AK22"/>
      <c r="AL22"/>
      <c r="AM22"/>
      <c r="AN22"/>
      <c r="AO22"/>
    </row>
    <row r="23" spans="1:41" ht="15.75">
      <c r="A23" s="59" t="s">
        <v>49</v>
      </c>
      <c r="B23" s="17"/>
      <c r="C23" s="98">
        <v>0.6</v>
      </c>
      <c r="D23" s="663">
        <v>1</v>
      </c>
      <c r="E23" s="664">
        <v>1</v>
      </c>
      <c r="F23" s="99">
        <v>0.7</v>
      </c>
      <c r="G23" s="663">
        <v>1</v>
      </c>
      <c r="H23" s="664">
        <v>1</v>
      </c>
      <c r="I23" s="19"/>
      <c r="J23" s="60" t="s">
        <v>50</v>
      </c>
      <c r="K23" s="216"/>
      <c r="L23" s="252"/>
      <c r="M23" s="218">
        <v>88</v>
      </c>
      <c r="N23" s="224">
        <f>O23*27*62/2000</f>
        <v>2891.45463</v>
      </c>
      <c r="O23" s="227">
        <f>R17/27</f>
        <v>3454.545555555556</v>
      </c>
      <c r="P23" s="3"/>
      <c r="Q23"/>
      <c r="R23"/>
      <c r="S23"/>
      <c r="T23"/>
      <c r="U23"/>
      <c r="V23" s="618" t="s">
        <v>103</v>
      </c>
      <c r="W23" s="623">
        <v>0.016</v>
      </c>
      <c r="Y23" s="2"/>
      <c r="Z23" s="2"/>
      <c r="AA23" s="2"/>
      <c r="AC23" s="728" t="s">
        <v>503</v>
      </c>
      <c r="AD23" s="619"/>
      <c r="AE23"/>
      <c r="AF23"/>
      <c r="AG23"/>
      <c r="AH23"/>
      <c r="AI23"/>
      <c r="AJ23"/>
      <c r="AK23"/>
      <c r="AL23"/>
      <c r="AM23"/>
      <c r="AN23"/>
      <c r="AO23"/>
    </row>
    <row r="24" spans="1:47" ht="15.75">
      <c r="A24" s="59" t="s">
        <v>51</v>
      </c>
      <c r="B24" s="17"/>
      <c r="C24" s="99">
        <v>0.94</v>
      </c>
      <c r="D24" s="663">
        <v>1</v>
      </c>
      <c r="E24" s="664">
        <v>1</v>
      </c>
      <c r="F24" s="99">
        <v>0.94</v>
      </c>
      <c r="G24" s="663">
        <v>1</v>
      </c>
      <c r="H24" s="664">
        <v>1</v>
      </c>
      <c r="I24" s="33"/>
      <c r="J24" s="199" t="s">
        <v>52</v>
      </c>
      <c r="K24" s="253"/>
      <c r="L24" s="254"/>
      <c r="M24" s="255"/>
      <c r="N24" s="223">
        <f>N22+N23</f>
        <v>2933.3128300000003</v>
      </c>
      <c r="O24" s="58">
        <f>O22+O23</f>
        <v>4074.6670370370375</v>
      </c>
      <c r="P24" s="3"/>
      <c r="Q24"/>
      <c r="R24"/>
      <c r="S24"/>
      <c r="T24"/>
      <c r="U24"/>
      <c r="V24" s="2"/>
      <c r="W24" s="2"/>
      <c r="Y24" s="2"/>
      <c r="Z24" s="2"/>
      <c r="AA24" s="2"/>
      <c r="AC24" s="728" t="s">
        <v>212</v>
      </c>
      <c r="AD24" s="619"/>
      <c r="AE24"/>
      <c r="AF24"/>
      <c r="AG24"/>
      <c r="AH24"/>
      <c r="AI24"/>
      <c r="AJ24"/>
      <c r="AK24"/>
      <c r="AL24"/>
      <c r="AM24"/>
      <c r="AN24"/>
      <c r="AO24"/>
      <c r="AU24" s="27"/>
    </row>
    <row r="25" spans="1:47" ht="15.75">
      <c r="A25" s="15" t="s">
        <v>53</v>
      </c>
      <c r="B25" s="61"/>
      <c r="C25" s="101">
        <v>0.81</v>
      </c>
      <c r="D25" s="101">
        <v>0.79</v>
      </c>
      <c r="E25" s="102">
        <v>0.83</v>
      </c>
      <c r="F25" s="101">
        <v>0.78</v>
      </c>
      <c r="G25" s="101">
        <v>0.9</v>
      </c>
      <c r="H25" s="102">
        <v>0.93</v>
      </c>
      <c r="I25" s="33"/>
      <c r="J25" s="201" t="s">
        <v>425</v>
      </c>
      <c r="K25" s="201"/>
      <c r="L25" s="201"/>
      <c r="M25" s="236"/>
      <c r="N25" s="256"/>
      <c r="O25" s="256"/>
      <c r="P25" s="3"/>
      <c r="Q25"/>
      <c r="R25"/>
      <c r="S25"/>
      <c r="T25"/>
      <c r="U25"/>
      <c r="V25"/>
      <c r="W25"/>
      <c r="X25"/>
      <c r="Y25"/>
      <c r="Z25"/>
      <c r="AA25"/>
      <c r="AB25"/>
      <c r="AC25" s="728" t="s">
        <v>213</v>
      </c>
      <c r="AD25" s="619"/>
      <c r="AE25"/>
      <c r="AF25"/>
      <c r="AG25"/>
      <c r="AH25"/>
      <c r="AI25"/>
      <c r="AJ25"/>
      <c r="AK25"/>
      <c r="AL25"/>
      <c r="AM25"/>
      <c r="AN25"/>
      <c r="AO25"/>
      <c r="AP25" s="70"/>
      <c r="AQ25"/>
      <c r="AR25"/>
      <c r="AS25"/>
      <c r="AT25"/>
      <c r="AU25" s="27"/>
    </row>
    <row r="26" spans="1:47" ht="15.75">
      <c r="A26" s="62"/>
      <c r="B26" s="62"/>
      <c r="C26" s="63"/>
      <c r="D26" s="64"/>
      <c r="E26" s="64"/>
      <c r="F26" s="64"/>
      <c r="G26" s="64"/>
      <c r="H26" s="64"/>
      <c r="I26" s="33"/>
      <c r="J26" s="19"/>
      <c r="K26" s="24"/>
      <c r="L26" s="256"/>
      <c r="M26" s="19"/>
      <c r="N26" s="256"/>
      <c r="O26" s="256"/>
      <c r="P26" s="3"/>
      <c r="Q26"/>
      <c r="R26"/>
      <c r="S26"/>
      <c r="T26"/>
      <c r="U26"/>
      <c r="V26"/>
      <c r="W26"/>
      <c r="X26"/>
      <c r="Y26"/>
      <c r="Z26"/>
      <c r="AA26"/>
      <c r="AB26"/>
      <c r="AC26" s="729" t="s">
        <v>214</v>
      </c>
      <c r="AD26" s="619"/>
      <c r="AE26"/>
      <c r="AF26"/>
      <c r="AG26"/>
      <c r="AH26"/>
      <c r="AI26"/>
      <c r="AJ26"/>
      <c r="AK26"/>
      <c r="AL26"/>
      <c r="AM26"/>
      <c r="AN26"/>
      <c r="AO26"/>
      <c r="AP26" s="69"/>
      <c r="AQ26"/>
      <c r="AR26"/>
      <c r="AS26"/>
      <c r="AT26"/>
      <c r="AU26" s="5"/>
    </row>
    <row r="27" spans="1:47" ht="15.75">
      <c r="A27" s="37"/>
      <c r="B27" s="44"/>
      <c r="C27" s="38" t="s">
        <v>54</v>
      </c>
      <c r="D27" s="39"/>
      <c r="E27" s="43" t="s">
        <v>55</v>
      </c>
      <c r="F27" s="781" t="s">
        <v>304</v>
      </c>
      <c r="G27" s="782"/>
      <c r="H27" s="783"/>
      <c r="I27" s="12" t="s">
        <v>56</v>
      </c>
      <c r="J27" s="202" t="s">
        <v>16</v>
      </c>
      <c r="K27" s="770" t="s">
        <v>467</v>
      </c>
      <c r="L27" s="760"/>
      <c r="M27" s="771"/>
      <c r="N27" s="770" t="s">
        <v>405</v>
      </c>
      <c r="O27" s="771"/>
      <c r="P27" s="3"/>
      <c r="R27" s="766" t="s">
        <v>464</v>
      </c>
      <c r="S27" s="767"/>
      <c r="T27" s="768"/>
      <c r="U27"/>
      <c r="V27"/>
      <c r="W27"/>
      <c r="X27"/>
      <c r="Y27"/>
      <c r="Z27"/>
      <c r="AA27"/>
      <c r="AB27"/>
      <c r="AC27" s="728" t="s">
        <v>504</v>
      </c>
      <c r="AD27" s="619"/>
      <c r="AE27"/>
      <c r="AF27"/>
      <c r="AG27"/>
      <c r="AH27"/>
      <c r="AI27"/>
      <c r="AJ27"/>
      <c r="AK27"/>
      <c r="AL27"/>
      <c r="AM27"/>
      <c r="AN27"/>
      <c r="AO27"/>
      <c r="AP27" s="70"/>
      <c r="AQ27"/>
      <c r="AR27"/>
      <c r="AS27"/>
      <c r="AT27"/>
      <c r="AU27" s="23"/>
    </row>
    <row r="28" spans="1:47" ht="15.75">
      <c r="A28" s="42"/>
      <c r="B28" s="65"/>
      <c r="C28" s="4" t="s">
        <v>57</v>
      </c>
      <c r="D28" s="29"/>
      <c r="E28" s="45" t="s">
        <v>58</v>
      </c>
      <c r="F28" s="791" t="s">
        <v>303</v>
      </c>
      <c r="G28" s="792"/>
      <c r="H28" s="793"/>
      <c r="I28" s="11" t="s">
        <v>59</v>
      </c>
      <c r="J28" s="204" t="s">
        <v>60</v>
      </c>
      <c r="K28" s="757" t="s">
        <v>468</v>
      </c>
      <c r="L28" s="759"/>
      <c r="M28" s="758"/>
      <c r="N28" s="757" t="s">
        <v>407</v>
      </c>
      <c r="O28" s="758"/>
      <c r="P28" s="3"/>
      <c r="R28" s="765" t="s">
        <v>448</v>
      </c>
      <c r="S28" s="753"/>
      <c r="T28" s="754"/>
      <c r="U28"/>
      <c r="V28"/>
      <c r="W28"/>
      <c r="X28"/>
      <c r="Y28"/>
      <c r="Z28"/>
      <c r="AA28"/>
      <c r="AB28"/>
      <c r="AC28" s="728" t="s">
        <v>505</v>
      </c>
      <c r="AD28" s="619"/>
      <c r="AE28"/>
      <c r="AF28"/>
      <c r="AG28"/>
      <c r="AH28"/>
      <c r="AI28"/>
      <c r="AJ28"/>
      <c r="AK28"/>
      <c r="AL28"/>
      <c r="AM28"/>
      <c r="AN28"/>
      <c r="AO28"/>
      <c r="AP28" s="112"/>
      <c r="AQ28"/>
      <c r="AR28"/>
      <c r="AS28"/>
      <c r="AT28"/>
      <c r="AU28" s="23"/>
    </row>
    <row r="29" spans="1:47" ht="15.75">
      <c r="A29" s="68" t="s">
        <v>61</v>
      </c>
      <c r="B29" s="67"/>
      <c r="C29" s="51" t="s">
        <v>54</v>
      </c>
      <c r="D29" s="57" t="s">
        <v>62</v>
      </c>
      <c r="E29" s="257"/>
      <c r="F29" s="51" t="s">
        <v>16</v>
      </c>
      <c r="G29" s="51" t="s">
        <v>17</v>
      </c>
      <c r="H29" s="51" t="s">
        <v>18</v>
      </c>
      <c r="I29" s="13" t="s">
        <v>63</v>
      </c>
      <c r="J29" s="71" t="s">
        <v>63</v>
      </c>
      <c r="K29" s="71" t="s">
        <v>16</v>
      </c>
      <c r="L29" s="71" t="s">
        <v>17</v>
      </c>
      <c r="M29" s="72" t="s">
        <v>18</v>
      </c>
      <c r="N29" s="72" t="s">
        <v>16</v>
      </c>
      <c r="O29" s="72" t="s">
        <v>17</v>
      </c>
      <c r="P29" s="3"/>
      <c r="R29" s="57" t="s">
        <v>16</v>
      </c>
      <c r="S29" s="563" t="s">
        <v>17</v>
      </c>
      <c r="T29" s="563" t="s">
        <v>18</v>
      </c>
      <c r="U29"/>
      <c r="V29"/>
      <c r="W29"/>
      <c r="X29"/>
      <c r="Y29"/>
      <c r="Z29"/>
      <c r="AA29"/>
      <c r="AB29"/>
      <c r="AC29" s="728" t="s">
        <v>215</v>
      </c>
      <c r="AD29" s="619"/>
      <c r="AE29"/>
      <c r="AF29"/>
      <c r="AG29"/>
      <c r="AH29"/>
      <c r="AI29"/>
      <c r="AJ29"/>
      <c r="AK29"/>
      <c r="AL29"/>
      <c r="AM29"/>
      <c r="AN29"/>
      <c r="AO29"/>
      <c r="AP29" s="87"/>
      <c r="AQ29"/>
      <c r="AR29"/>
      <c r="AS29"/>
      <c r="AT29"/>
      <c r="AU29" s="23"/>
    </row>
    <row r="30" spans="1:47" ht="15.75">
      <c r="A30" s="784" t="s">
        <v>64</v>
      </c>
      <c r="B30" s="785"/>
      <c r="C30" s="103" t="s">
        <v>65</v>
      </c>
      <c r="D30" s="258">
        <v>34</v>
      </c>
      <c r="E30" s="104">
        <v>6</v>
      </c>
      <c r="F30" s="375">
        <f>IF(A30=" "," ",VLOOKUP($A30,'Crop Uptk'!$A$5:$E$38,3,TRUE))</f>
        <v>56.6</v>
      </c>
      <c r="G30" s="375">
        <f>IF(A30=" "," ",VLOOKUP($A30,'Crop Uptk'!$A$5:$E$38,4,TRUE))</f>
        <v>13.3</v>
      </c>
      <c r="H30" s="375">
        <f>IF(A30=" "," ",VLOOKUP($A30,'Crop Uptk'!$A$5:$E$38,5,TRUE))</f>
        <v>60</v>
      </c>
      <c r="I30" s="105">
        <v>330</v>
      </c>
      <c r="J30" s="205">
        <f aca="true" t="shared" si="7" ref="J30:J39">IF(E30&gt;0,F30*E30-I30,0)</f>
        <v>9.600000000000023</v>
      </c>
      <c r="K30" s="81">
        <f>D30*J30</f>
        <v>326.4000000000008</v>
      </c>
      <c r="L30" s="81">
        <f>IF(A30="","",D30*E30*G30)</f>
        <v>2713.2000000000003</v>
      </c>
      <c r="M30" s="81">
        <f>IF(A30="","",D30*E30*H30)</f>
        <v>12240</v>
      </c>
      <c r="N30" s="352">
        <f>J30/I51</f>
        <v>1.8989753411823187</v>
      </c>
      <c r="O30" s="353">
        <f>E30*G30/J51</f>
        <v>17.979449892024707</v>
      </c>
      <c r="P30" s="3"/>
      <c r="R30" s="629">
        <f aca="true" t="shared" si="8" ref="R30:R39">$I$52*D30</f>
        <v>15.041017743492866</v>
      </c>
      <c r="S30" s="630">
        <f aca="true" t="shared" si="9" ref="S30:S39">$J$52*D30</f>
        <v>25.11081154107975</v>
      </c>
      <c r="T30" s="631">
        <f aca="true" t="shared" si="10" ref="T30:T39">$K$52*D30</f>
        <v>15.49105074418605</v>
      </c>
      <c r="U30"/>
      <c r="V30"/>
      <c r="W30"/>
      <c r="X30"/>
      <c r="Y30"/>
      <c r="Z30"/>
      <c r="AA30"/>
      <c r="AB30"/>
      <c r="AC30" s="728" t="s">
        <v>216</v>
      </c>
      <c r="AD30" s="619"/>
      <c r="AE30"/>
      <c r="AF30"/>
      <c r="AG30"/>
      <c r="AH30"/>
      <c r="AI30"/>
      <c r="AJ30"/>
      <c r="AK30"/>
      <c r="AL30"/>
      <c r="AM30"/>
      <c r="AN30"/>
      <c r="AO30"/>
      <c r="AP30" s="87"/>
      <c r="AQ30"/>
      <c r="AR30"/>
      <c r="AS30"/>
      <c r="AT30"/>
      <c r="AU30" s="23"/>
    </row>
    <row r="31" spans="1:47" ht="15.75">
      <c r="A31" s="779" t="s">
        <v>68</v>
      </c>
      <c r="B31" s="780"/>
      <c r="C31" s="103" t="s">
        <v>519</v>
      </c>
      <c r="D31" s="258">
        <v>5</v>
      </c>
      <c r="E31" s="104">
        <v>30</v>
      </c>
      <c r="F31" s="375">
        <f>IF(A31=" "," ",VLOOKUP($A31,'Crop Uptk'!$A$5:$E$38,3,TRUE))</f>
        <v>9</v>
      </c>
      <c r="G31" s="375">
        <f>IF(A31=" "," ",VLOOKUP($A31,'Crop Uptk'!$A$5:$E$38,4,TRUE))</f>
        <v>3.1</v>
      </c>
      <c r="H31" s="375">
        <f>IF(A31=" "," ",VLOOKUP($A31,'Crop Uptk'!$A$5:$E$38,5,TRUE))</f>
        <v>9</v>
      </c>
      <c r="I31" s="105"/>
      <c r="J31" s="206">
        <f t="shared" si="7"/>
        <v>270</v>
      </c>
      <c r="K31" s="81">
        <f>D31*J31</f>
        <v>1350</v>
      </c>
      <c r="L31" s="81">
        <f>IF(A31="","",D31*E31*G31)</f>
        <v>465</v>
      </c>
      <c r="M31" s="81">
        <f aca="true" t="shared" si="11" ref="M31:M39">IF(A31="","",D31*E31*H31)</f>
        <v>1350</v>
      </c>
      <c r="N31" s="354">
        <f>J31/I51</f>
        <v>53.40868147075258</v>
      </c>
      <c r="O31" s="355">
        <f>E31*G31/$J$51</f>
        <v>20.953494235066387</v>
      </c>
      <c r="P31" s="3"/>
      <c r="R31" s="632">
        <f t="shared" si="8"/>
        <v>2.2119143740430687</v>
      </c>
      <c r="S31" s="633">
        <f t="shared" si="9"/>
        <v>3.6927664030999634</v>
      </c>
      <c r="T31" s="634">
        <f t="shared" si="10"/>
        <v>2.278095697674419</v>
      </c>
      <c r="U31"/>
      <c r="V31"/>
      <c r="W31"/>
      <c r="X31"/>
      <c r="Y31"/>
      <c r="Z31"/>
      <c r="AA31"/>
      <c r="AB31"/>
      <c r="AC31" s="728" t="s">
        <v>506</v>
      </c>
      <c r="AD31" s="619"/>
      <c r="AE31"/>
      <c r="AF31"/>
      <c r="AG31"/>
      <c r="AH31"/>
      <c r="AI31"/>
      <c r="AJ31"/>
      <c r="AK31"/>
      <c r="AL31"/>
      <c r="AM31"/>
      <c r="AN31"/>
      <c r="AO31"/>
      <c r="AP31" s="87"/>
      <c r="AQ31"/>
      <c r="AR31"/>
      <c r="AS31"/>
      <c r="AT31"/>
      <c r="AU31" s="23"/>
    </row>
    <row r="32" spans="1:47" ht="15.75">
      <c r="A32" s="779" t="s">
        <v>67</v>
      </c>
      <c r="B32" s="780"/>
      <c r="C32" s="103" t="s">
        <v>512</v>
      </c>
      <c r="D32" s="258">
        <v>30</v>
      </c>
      <c r="E32" s="104">
        <v>4</v>
      </c>
      <c r="F32" s="375">
        <f>IF(A32=" "," ",VLOOKUP($A32,'Crop Uptk'!$A$5:$E$38,3,TRUE))</f>
        <v>31.6</v>
      </c>
      <c r="G32" s="375">
        <f>IF(A32=" "," ",VLOOKUP($A32,'Crop Uptk'!$A$5:$E$38,4,TRUE))</f>
        <v>13</v>
      </c>
      <c r="H32" s="375">
        <f>IF(A32=" "," ",VLOOKUP($A32,'Crop Uptk'!$A$5:$E$38,5,TRUE))</f>
        <v>60</v>
      </c>
      <c r="I32" s="105">
        <v>0</v>
      </c>
      <c r="J32" s="206">
        <f t="shared" si="7"/>
        <v>126.4</v>
      </c>
      <c r="K32" s="81">
        <f aca="true" t="shared" si="12" ref="K32:K39">D32*J32</f>
        <v>3792</v>
      </c>
      <c r="L32" s="81">
        <f aca="true" t="shared" si="13" ref="L32:L39">IF(A32="","",D32*E32*G32)</f>
        <v>1560</v>
      </c>
      <c r="M32" s="81">
        <f t="shared" si="11"/>
        <v>7200</v>
      </c>
      <c r="N32" s="354">
        <f>J32/I51</f>
        <v>25.00317532556714</v>
      </c>
      <c r="O32" s="355">
        <f aca="true" t="shared" si="14" ref="O32:O39">E32*G32/$J$51</f>
        <v>11.715932260467227</v>
      </c>
      <c r="P32" s="3"/>
      <c r="R32" s="632">
        <f t="shared" si="8"/>
        <v>13.271486244258412</v>
      </c>
      <c r="S32" s="633">
        <f t="shared" si="9"/>
        <v>22.15659841859978</v>
      </c>
      <c r="T32" s="634">
        <f t="shared" si="10"/>
        <v>13.668574186046515</v>
      </c>
      <c r="U32"/>
      <c r="V32"/>
      <c r="W32"/>
      <c r="X32"/>
      <c r="Y32"/>
      <c r="Z32"/>
      <c r="AA32"/>
      <c r="AB32"/>
      <c r="AC32" s="728" t="s">
        <v>309</v>
      </c>
      <c r="AD32" s="619"/>
      <c r="AE32"/>
      <c r="AF32"/>
      <c r="AG32"/>
      <c r="AH32"/>
      <c r="AI32"/>
      <c r="AJ32"/>
      <c r="AK32"/>
      <c r="AL32"/>
      <c r="AM32"/>
      <c r="AN32"/>
      <c r="AO32"/>
      <c r="AP32" s="87"/>
      <c r="AQ32"/>
      <c r="AR32"/>
      <c r="AS32"/>
      <c r="AT32"/>
      <c r="AU32" s="23"/>
    </row>
    <row r="33" spans="1:47" ht="15.75">
      <c r="A33" s="779" t="s">
        <v>509</v>
      </c>
      <c r="B33" s="780"/>
      <c r="C33" s="103" t="s">
        <v>513</v>
      </c>
      <c r="D33" s="258">
        <v>80</v>
      </c>
      <c r="E33" s="104">
        <v>120</v>
      </c>
      <c r="F33" s="375">
        <f>IF(A33=" "," ",VLOOKUP($A33,'Crop Uptk'!$A$5:$E$38,3,TRUE))</f>
        <v>1.7</v>
      </c>
      <c r="G33" s="375">
        <f>IF(A33=" "," ",VLOOKUP($A33,'Crop Uptk'!$A$5:$E$38,4,TRUE))</f>
        <v>0.7</v>
      </c>
      <c r="H33" s="375">
        <f>IF(A33=" "," ",VLOOKUP($A33,'Crop Uptk'!$A$5:$E$38,5,TRUE))</f>
        <v>2</v>
      </c>
      <c r="I33" s="105">
        <v>0</v>
      </c>
      <c r="J33" s="206">
        <f t="shared" si="7"/>
        <v>204</v>
      </c>
      <c r="K33" s="81">
        <f t="shared" si="12"/>
        <v>16320</v>
      </c>
      <c r="L33" s="81">
        <f t="shared" si="13"/>
        <v>6720</v>
      </c>
      <c r="M33" s="81">
        <f t="shared" si="11"/>
        <v>19200</v>
      </c>
      <c r="N33" s="354">
        <f>J33/I51</f>
        <v>40.353226000124174</v>
      </c>
      <c r="O33" s="355">
        <f t="shared" si="14"/>
        <v>18.925736728447056</v>
      </c>
      <c r="P33" s="3"/>
      <c r="R33" s="632">
        <f t="shared" si="8"/>
        <v>35.3906299846891</v>
      </c>
      <c r="S33" s="633">
        <f t="shared" si="9"/>
        <v>59.084262449599414</v>
      </c>
      <c r="T33" s="634">
        <f t="shared" si="10"/>
        <v>36.449531162790706</v>
      </c>
      <c r="U33"/>
      <c r="V33"/>
      <c r="W33"/>
      <c r="X33"/>
      <c r="Y33"/>
      <c r="Z33"/>
      <c r="AA33"/>
      <c r="AB33"/>
      <c r="AC33" s="729" t="s">
        <v>308</v>
      </c>
      <c r="AD33" s="619"/>
      <c r="AE33"/>
      <c r="AF33"/>
      <c r="AG33"/>
      <c r="AH33"/>
      <c r="AI33"/>
      <c r="AJ33"/>
      <c r="AK33"/>
      <c r="AL33"/>
      <c r="AM33"/>
      <c r="AN33"/>
      <c r="AO33"/>
      <c r="AP33" s="87"/>
      <c r="AQ33"/>
      <c r="AR33"/>
      <c r="AS33"/>
      <c r="AT33"/>
      <c r="AU33" s="23"/>
    </row>
    <row r="34" spans="1:47" ht="15.75">
      <c r="A34" s="779">
        <v>0</v>
      </c>
      <c r="B34" s="780"/>
      <c r="C34" s="103"/>
      <c r="D34" s="258"/>
      <c r="E34" s="104"/>
      <c r="F34" s="375">
        <f>IF(A34=" "," ",VLOOKUP($A34,'Crop Uptk'!$A$5:$E$38,3,TRUE))</f>
        <v>0</v>
      </c>
      <c r="G34" s="375">
        <f>IF(A34=" "," ",VLOOKUP($A34,'Crop Uptk'!$A$5:$E$38,4,TRUE))</f>
        <v>0</v>
      </c>
      <c r="H34" s="375">
        <f>IF(A34=" "," ",VLOOKUP($A34,'Crop Uptk'!$A$5:$E$38,5,TRUE))</f>
        <v>0</v>
      </c>
      <c r="I34" s="105">
        <v>0</v>
      </c>
      <c r="J34" s="206">
        <f t="shared" si="7"/>
        <v>0</v>
      </c>
      <c r="K34" s="81">
        <f t="shared" si="12"/>
        <v>0</v>
      </c>
      <c r="L34" s="81">
        <f t="shared" si="13"/>
        <v>0</v>
      </c>
      <c r="M34" s="81">
        <f t="shared" si="11"/>
        <v>0</v>
      </c>
      <c r="N34" s="354">
        <f>J34/I51</f>
        <v>0</v>
      </c>
      <c r="O34" s="355">
        <f t="shared" si="14"/>
        <v>0</v>
      </c>
      <c r="P34" s="3"/>
      <c r="R34" s="632">
        <f t="shared" si="8"/>
        <v>0</v>
      </c>
      <c r="S34" s="633">
        <f t="shared" si="9"/>
        <v>0</v>
      </c>
      <c r="T34" s="634">
        <f t="shared" si="10"/>
        <v>0</v>
      </c>
      <c r="U34"/>
      <c r="V34"/>
      <c r="W34"/>
      <c r="X34"/>
      <c r="Y34"/>
      <c r="Z34"/>
      <c r="AA34"/>
      <c r="AB34"/>
      <c r="AC34" s="728" t="s">
        <v>507</v>
      </c>
      <c r="AD34" s="619"/>
      <c r="AE34"/>
      <c r="AF34"/>
      <c r="AG34"/>
      <c r="AH34"/>
      <c r="AI34"/>
      <c r="AJ34"/>
      <c r="AK34"/>
      <c r="AL34"/>
      <c r="AM34"/>
      <c r="AN34"/>
      <c r="AO34"/>
      <c r="AP34" s="87"/>
      <c r="AQ34"/>
      <c r="AR34"/>
      <c r="AS34"/>
      <c r="AT34"/>
      <c r="AU34" s="23"/>
    </row>
    <row r="35" spans="1:47" ht="15.75">
      <c r="A35" s="779">
        <v>0</v>
      </c>
      <c r="B35" s="780"/>
      <c r="C35" s="103"/>
      <c r="D35" s="258"/>
      <c r="E35" s="104"/>
      <c r="F35" s="375">
        <f>IF(A35=" "," ",VLOOKUP($A35,'Crop Uptk'!$A$5:$E$38,3,TRUE))</f>
        <v>0</v>
      </c>
      <c r="G35" s="375">
        <f>IF(A35=" "," ",VLOOKUP($A35,'Crop Uptk'!$A$5:$E$38,4,TRUE))</f>
        <v>0</v>
      </c>
      <c r="H35" s="375">
        <f>IF(A35=" "," ",VLOOKUP($A35,'Crop Uptk'!$A$5:$E$38,5,TRUE))</f>
        <v>0</v>
      </c>
      <c r="I35" s="105">
        <v>0</v>
      </c>
      <c r="J35" s="206">
        <f>IF(E35&gt;0,F35*E35-I35,0)</f>
        <v>0</v>
      </c>
      <c r="K35" s="81">
        <f t="shared" si="12"/>
        <v>0</v>
      </c>
      <c r="L35" s="81">
        <f t="shared" si="13"/>
        <v>0</v>
      </c>
      <c r="M35" s="81">
        <f t="shared" si="11"/>
        <v>0</v>
      </c>
      <c r="N35" s="354">
        <f>J35/I51</f>
        <v>0</v>
      </c>
      <c r="O35" s="355">
        <f t="shared" si="14"/>
        <v>0</v>
      </c>
      <c r="P35" s="3"/>
      <c r="R35" s="632">
        <f t="shared" si="8"/>
        <v>0</v>
      </c>
      <c r="S35" s="633">
        <f t="shared" si="9"/>
        <v>0</v>
      </c>
      <c r="T35" s="634">
        <f t="shared" si="10"/>
        <v>0</v>
      </c>
      <c r="U35"/>
      <c r="V35"/>
      <c r="W35"/>
      <c r="X35"/>
      <c r="Y35"/>
      <c r="Z35"/>
      <c r="AA35"/>
      <c r="AB35"/>
      <c r="AC35" s="728" t="s">
        <v>508</v>
      </c>
      <c r="AD35" s="619"/>
      <c r="AE35"/>
      <c r="AF35"/>
      <c r="AG35"/>
      <c r="AH35"/>
      <c r="AI35"/>
      <c r="AJ35"/>
      <c r="AK35"/>
      <c r="AL35"/>
      <c r="AM35"/>
      <c r="AN35"/>
      <c r="AO35"/>
      <c r="AP35" s="87"/>
      <c r="AQ35"/>
      <c r="AR35"/>
      <c r="AS35"/>
      <c r="AT35"/>
      <c r="AU35" s="23"/>
    </row>
    <row r="36" spans="1:47" ht="15.75">
      <c r="A36" s="779">
        <v>0</v>
      </c>
      <c r="B36" s="780"/>
      <c r="C36" s="103"/>
      <c r="D36" s="258"/>
      <c r="E36" s="104"/>
      <c r="F36" s="375">
        <f>IF(A36=" "," ",VLOOKUP($A36,'Crop Uptk'!$A$5:$E$38,3,TRUE))</f>
        <v>0</v>
      </c>
      <c r="G36" s="375">
        <f>IF(A36=" "," ",VLOOKUP($A36,'Crop Uptk'!$A$5:$E$38,4,TRUE))</f>
        <v>0</v>
      </c>
      <c r="H36" s="375">
        <f>IF(A36=" "," ",VLOOKUP($A36,'Crop Uptk'!$A$5:$E$38,5,TRUE))</f>
        <v>0</v>
      </c>
      <c r="I36" s="105">
        <v>0</v>
      </c>
      <c r="J36" s="206">
        <f t="shared" si="7"/>
        <v>0</v>
      </c>
      <c r="K36" s="81">
        <f t="shared" si="12"/>
        <v>0</v>
      </c>
      <c r="L36" s="81">
        <f t="shared" si="13"/>
        <v>0</v>
      </c>
      <c r="M36" s="81">
        <f t="shared" si="11"/>
        <v>0</v>
      </c>
      <c r="N36" s="354">
        <f>J36/I51</f>
        <v>0</v>
      </c>
      <c r="O36" s="355">
        <f t="shared" si="14"/>
        <v>0</v>
      </c>
      <c r="P36" s="3"/>
      <c r="R36" s="632">
        <f t="shared" si="8"/>
        <v>0</v>
      </c>
      <c r="S36" s="633">
        <f t="shared" si="9"/>
        <v>0</v>
      </c>
      <c r="T36" s="634">
        <f t="shared" si="10"/>
        <v>0</v>
      </c>
      <c r="U36"/>
      <c r="V36"/>
      <c r="W36"/>
      <c r="X36"/>
      <c r="Y36"/>
      <c r="Z36"/>
      <c r="AA36"/>
      <c r="AB36"/>
      <c r="AC36" s="728" t="s">
        <v>509</v>
      </c>
      <c r="AD36" s="619"/>
      <c r="AE36"/>
      <c r="AF36"/>
      <c r="AG36"/>
      <c r="AH36"/>
      <c r="AI36"/>
      <c r="AJ36"/>
      <c r="AK36"/>
      <c r="AL36"/>
      <c r="AM36"/>
      <c r="AN36"/>
      <c r="AO36"/>
      <c r="AP36" s="87"/>
      <c r="AQ36"/>
      <c r="AR36"/>
      <c r="AS36"/>
      <c r="AT36"/>
      <c r="AU36" s="23"/>
    </row>
    <row r="37" spans="1:47" ht="15.75">
      <c r="A37" s="779">
        <v>0</v>
      </c>
      <c r="B37" s="780"/>
      <c r="C37" s="103" t="s">
        <v>4</v>
      </c>
      <c r="D37" s="258">
        <v>0</v>
      </c>
      <c r="E37" s="104">
        <v>0</v>
      </c>
      <c r="F37" s="375">
        <f>IF(A37=" "," ",VLOOKUP($A37,'Crop Uptk'!$A$5:$E$38,3,TRUE))</f>
        <v>0</v>
      </c>
      <c r="G37" s="375">
        <f>IF(A37=" "," ",VLOOKUP($A37,'Crop Uptk'!$A$5:$E$38,4,TRUE))</f>
        <v>0</v>
      </c>
      <c r="H37" s="375">
        <f>IF(A37=" "," ",VLOOKUP($A37,'Crop Uptk'!$A$5:$E$38,5,TRUE))</f>
        <v>0</v>
      </c>
      <c r="I37" s="105">
        <v>0</v>
      </c>
      <c r="J37" s="206">
        <f t="shared" si="7"/>
        <v>0</v>
      </c>
      <c r="K37" s="81">
        <f t="shared" si="12"/>
        <v>0</v>
      </c>
      <c r="L37" s="81">
        <f t="shared" si="13"/>
        <v>0</v>
      </c>
      <c r="M37" s="81">
        <f t="shared" si="11"/>
        <v>0</v>
      </c>
      <c r="N37" s="354">
        <f>J37/I51</f>
        <v>0</v>
      </c>
      <c r="O37" s="355">
        <f t="shared" si="14"/>
        <v>0</v>
      </c>
      <c r="P37" s="3"/>
      <c r="R37" s="632">
        <f t="shared" si="8"/>
        <v>0</v>
      </c>
      <c r="S37" s="633">
        <f t="shared" si="9"/>
        <v>0</v>
      </c>
      <c r="T37" s="634">
        <f t="shared" si="10"/>
        <v>0</v>
      </c>
      <c r="U37"/>
      <c r="V37"/>
      <c r="W37"/>
      <c r="X37"/>
      <c r="Y37"/>
      <c r="Z37"/>
      <c r="AA37"/>
      <c r="AB37"/>
      <c r="AC37"/>
      <c r="AD37"/>
      <c r="AE37"/>
      <c r="AF37"/>
      <c r="AG37"/>
      <c r="AH37"/>
      <c r="AI37"/>
      <c r="AJ37"/>
      <c r="AK37"/>
      <c r="AL37"/>
      <c r="AM37"/>
      <c r="AN37"/>
      <c r="AO37"/>
      <c r="AP37" s="87"/>
      <c r="AQ37"/>
      <c r="AR37"/>
      <c r="AS37"/>
      <c r="AT37"/>
      <c r="AU37" s="23"/>
    </row>
    <row r="38" spans="1:47" ht="15.75">
      <c r="A38" s="779">
        <v>0</v>
      </c>
      <c r="B38" s="780"/>
      <c r="C38" s="103" t="s">
        <v>4</v>
      </c>
      <c r="D38" s="258">
        <v>0</v>
      </c>
      <c r="E38" s="104">
        <v>0</v>
      </c>
      <c r="F38" s="375">
        <f>IF(A38=" "," ",VLOOKUP($A38,'Crop Uptk'!$A$5:$E$38,3,TRUE))</f>
        <v>0</v>
      </c>
      <c r="G38" s="375">
        <f>IF(A38=" "," ",VLOOKUP($A38,'Crop Uptk'!$A$5:$E$38,4,TRUE))</f>
        <v>0</v>
      </c>
      <c r="H38" s="375">
        <f>IF(A38=" "," ",VLOOKUP($A38,'Crop Uptk'!$A$5:$E$38,5,TRUE))</f>
        <v>0</v>
      </c>
      <c r="I38" s="105">
        <v>0</v>
      </c>
      <c r="J38" s="206">
        <f t="shared" si="7"/>
        <v>0</v>
      </c>
      <c r="K38" s="81">
        <f t="shared" si="12"/>
        <v>0</v>
      </c>
      <c r="L38" s="81">
        <f t="shared" si="13"/>
        <v>0</v>
      </c>
      <c r="M38" s="81">
        <f t="shared" si="11"/>
        <v>0</v>
      </c>
      <c r="N38" s="354">
        <f>J38/I51</f>
        <v>0</v>
      </c>
      <c r="O38" s="355">
        <f t="shared" si="14"/>
        <v>0</v>
      </c>
      <c r="P38" s="3"/>
      <c r="R38" s="632">
        <f t="shared" si="8"/>
        <v>0</v>
      </c>
      <c r="S38" s="633">
        <f t="shared" si="9"/>
        <v>0</v>
      </c>
      <c r="T38" s="634">
        <f t="shared" si="10"/>
        <v>0</v>
      </c>
      <c r="U38"/>
      <c r="V38"/>
      <c r="W38"/>
      <c r="X38"/>
      <c r="Y38"/>
      <c r="Z38"/>
      <c r="AA38"/>
      <c r="AB38"/>
      <c r="AC38"/>
      <c r="AD38"/>
      <c r="AE38"/>
      <c r="AF38"/>
      <c r="AG38"/>
      <c r="AH38"/>
      <c r="AI38"/>
      <c r="AJ38"/>
      <c r="AK38"/>
      <c r="AL38"/>
      <c r="AM38"/>
      <c r="AN38"/>
      <c r="AO38"/>
      <c r="AP38" s="87"/>
      <c r="AQ38"/>
      <c r="AR38"/>
      <c r="AS38"/>
      <c r="AT38"/>
      <c r="AU38" s="23"/>
    </row>
    <row r="39" spans="1:47" ht="15.75">
      <c r="A39" s="761">
        <v>0</v>
      </c>
      <c r="B39" s="762"/>
      <c r="C39" s="106" t="s">
        <v>4</v>
      </c>
      <c r="D39" s="259">
        <v>0</v>
      </c>
      <c r="E39" s="107">
        <v>0</v>
      </c>
      <c r="F39" s="376">
        <f>IF(A39=" "," ",VLOOKUP($A39,'Crop Uptk'!$A$5:$E$38,3,TRUE))</f>
        <v>0</v>
      </c>
      <c r="G39" s="376">
        <f>IF(A39=" "," ",VLOOKUP($A39,'Crop Uptk'!$A$5:$E$38,4,TRUE))</f>
        <v>0</v>
      </c>
      <c r="H39" s="376">
        <f>IF(A39=" "," ",VLOOKUP($A39,'Crop Uptk'!$A$5:$E$38,5,TRUE))</f>
        <v>0</v>
      </c>
      <c r="I39" s="108">
        <v>0</v>
      </c>
      <c r="J39" s="207">
        <f t="shared" si="7"/>
        <v>0</v>
      </c>
      <c r="K39" s="208">
        <f t="shared" si="12"/>
        <v>0</v>
      </c>
      <c r="L39" s="208">
        <f t="shared" si="13"/>
        <v>0</v>
      </c>
      <c r="M39" s="208">
        <f t="shared" si="11"/>
        <v>0</v>
      </c>
      <c r="N39" s="356">
        <f>J39/I51</f>
        <v>0</v>
      </c>
      <c r="O39" s="357">
        <f t="shared" si="14"/>
        <v>0</v>
      </c>
      <c r="P39" s="3"/>
      <c r="R39" s="635">
        <f t="shared" si="8"/>
        <v>0</v>
      </c>
      <c r="S39" s="636">
        <f t="shared" si="9"/>
        <v>0</v>
      </c>
      <c r="T39" s="637">
        <f t="shared" si="10"/>
        <v>0</v>
      </c>
      <c r="U39"/>
      <c r="V39"/>
      <c r="W39"/>
      <c r="X39"/>
      <c r="Y39"/>
      <c r="Z39"/>
      <c r="AA39"/>
      <c r="AB39"/>
      <c r="AC39"/>
      <c r="AD39"/>
      <c r="AE39"/>
      <c r="AF39"/>
      <c r="AG39"/>
      <c r="AH39"/>
      <c r="AI39"/>
      <c r="AJ39"/>
      <c r="AK39"/>
      <c r="AL39"/>
      <c r="AM39"/>
      <c r="AN39"/>
      <c r="AO39"/>
      <c r="AP39" s="87"/>
      <c r="AQ39"/>
      <c r="AR39"/>
      <c r="AS39"/>
      <c r="AT39"/>
      <c r="AU39" s="23"/>
    </row>
    <row r="40" spans="1:47" ht="15.75">
      <c r="A40" s="236"/>
      <c r="B40" s="24"/>
      <c r="C40" s="19"/>
      <c r="D40" s="19"/>
      <c r="E40" s="19"/>
      <c r="F40" s="19"/>
      <c r="G40" s="19"/>
      <c r="H40" s="19"/>
      <c r="I40" s="19"/>
      <c r="J40" s="25"/>
      <c r="K40" s="25"/>
      <c r="L40" s="19"/>
      <c r="M40" s="19"/>
      <c r="N40" s="19"/>
      <c r="O40" s="19"/>
      <c r="P40" s="3"/>
      <c r="Q40" s="646" t="s">
        <v>453</v>
      </c>
      <c r="R40" s="628">
        <f>SUM(R30:R39)</f>
        <v>65.91504834648345</v>
      </c>
      <c r="S40" s="628">
        <f>SUM(S30:S39)</f>
        <v>110.0444388123789</v>
      </c>
      <c r="T40" s="628">
        <f>SUM(T30:T39)</f>
        <v>67.88725179069769</v>
      </c>
      <c r="U40"/>
      <c r="V40"/>
      <c r="W40"/>
      <c r="X40"/>
      <c r="Y40"/>
      <c r="Z40"/>
      <c r="AA40"/>
      <c r="AB40"/>
      <c r="AC40"/>
      <c r="AD40"/>
      <c r="AE40"/>
      <c r="AF40"/>
      <c r="AG40"/>
      <c r="AH40"/>
      <c r="AI40"/>
      <c r="AJ40"/>
      <c r="AK40"/>
      <c r="AL40"/>
      <c r="AM40"/>
      <c r="AN40"/>
      <c r="AO40"/>
      <c r="AP40" s="87"/>
      <c r="AQ40"/>
      <c r="AR40"/>
      <c r="AS40"/>
      <c r="AT40"/>
      <c r="AU40" s="23"/>
    </row>
    <row r="41" spans="1:46" ht="15.75">
      <c r="A41" s="198" t="s">
        <v>69</v>
      </c>
      <c r="B41" s="111"/>
      <c r="C41" s="111"/>
      <c r="D41" s="111"/>
      <c r="E41" s="111"/>
      <c r="F41" s="111"/>
      <c r="G41" s="111"/>
      <c r="H41" s="111"/>
      <c r="I41" s="71" t="s">
        <v>16</v>
      </c>
      <c r="J41" s="71" t="s">
        <v>17</v>
      </c>
      <c r="K41" s="72" t="s">
        <v>18</v>
      </c>
      <c r="L41" s="87"/>
      <c r="P41" s="3"/>
      <c r="Q41"/>
      <c r="R41" s="201" t="s">
        <v>455</v>
      </c>
      <c r="S41" s="647"/>
      <c r="T41"/>
      <c r="U41"/>
      <c r="V41"/>
      <c r="W41"/>
      <c r="X41"/>
      <c r="Y41"/>
      <c r="Z41"/>
      <c r="AA41"/>
      <c r="AB41"/>
      <c r="AC41"/>
      <c r="AD41"/>
      <c r="AE41"/>
      <c r="AF41"/>
      <c r="AG41"/>
      <c r="AH41"/>
      <c r="AI41"/>
      <c r="AJ41"/>
      <c r="AK41"/>
      <c r="AL41"/>
      <c r="AM41"/>
      <c r="AN41"/>
      <c r="AO41"/>
      <c r="AP41" s="87"/>
      <c r="AQ41"/>
      <c r="AR41"/>
      <c r="AS41"/>
      <c r="AT41"/>
    </row>
    <row r="42" spans="1:45" ht="15.75">
      <c r="A42" s="73" t="s">
        <v>71</v>
      </c>
      <c r="B42" s="74"/>
      <c r="C42" s="74"/>
      <c r="D42" s="74"/>
      <c r="E42" s="74"/>
      <c r="F42" s="74"/>
      <c r="G42" s="209">
        <f>SUM($D$30:$D$39)</f>
        <v>149</v>
      </c>
      <c r="H42" s="75" t="s">
        <v>72</v>
      </c>
      <c r="I42" s="76">
        <f>SUM(K30:K39)</f>
        <v>21788.4</v>
      </c>
      <c r="J42" s="76">
        <f>SUM(L30:L39)</f>
        <v>11458.2</v>
      </c>
      <c r="K42" s="77">
        <f>SUM(M30:M39)</f>
        <v>39990</v>
      </c>
      <c r="L42" s="87"/>
      <c r="M42" s="19" t="s">
        <v>70</v>
      </c>
      <c r="N42" s="19"/>
      <c r="O42" s="19"/>
      <c r="P42" s="3"/>
      <c r="Q42"/>
      <c r="R42" s="201" t="s">
        <v>4</v>
      </c>
      <c r="S42"/>
      <c r="T42"/>
      <c r="U42"/>
      <c r="V42"/>
      <c r="W42"/>
      <c r="X42"/>
      <c r="Y42"/>
      <c r="Z42"/>
      <c r="AA42"/>
      <c r="AB42"/>
      <c r="AC42"/>
      <c r="AD42"/>
      <c r="AE42"/>
      <c r="AF42"/>
      <c r="AG42"/>
      <c r="AH42"/>
      <c r="AI42"/>
      <c r="AJ42"/>
      <c r="AK42"/>
      <c r="AL42"/>
      <c r="AM42"/>
      <c r="AN42"/>
      <c r="AO42"/>
      <c r="AP42" s="70"/>
      <c r="AQ42" s="70"/>
      <c r="AR42" s="70"/>
      <c r="AS42" s="70"/>
    </row>
    <row r="43" spans="1:45" ht="15.75" customHeight="1">
      <c r="A43" s="78" t="s">
        <v>74</v>
      </c>
      <c r="B43" s="79"/>
      <c r="C43" s="79"/>
      <c r="D43" s="79"/>
      <c r="E43" s="79"/>
      <c r="F43" s="79"/>
      <c r="G43" s="210">
        <f>SUM($D$30:$D$39)</f>
        <v>149</v>
      </c>
      <c r="H43" s="80" t="s">
        <v>72</v>
      </c>
      <c r="I43" s="81">
        <f>J17+M17</f>
        <v>12308.65651548</v>
      </c>
      <c r="J43" s="81">
        <f>K17+N17</f>
        <v>9842.1472</v>
      </c>
      <c r="K43" s="82">
        <f>L17+O17</f>
        <v>22330.74289</v>
      </c>
      <c r="L43" s="87"/>
      <c r="M43" s="10" t="s">
        <v>73</v>
      </c>
      <c r="N43" s="18"/>
      <c r="O43" s="213">
        <f>ROUND(((M22/100*N22)+(M23/100*N23))/(N24)*100,0)</f>
        <v>87</v>
      </c>
      <c r="P43" s="3"/>
      <c r="Q43"/>
      <c r="R43"/>
      <c r="S43"/>
      <c r="T43"/>
      <c r="U43"/>
      <c r="V43"/>
      <c r="W43"/>
      <c r="X43"/>
      <c r="Y43"/>
      <c r="Z43"/>
      <c r="AA43"/>
      <c r="AB43"/>
      <c r="AC43"/>
      <c r="AD43"/>
      <c r="AE43"/>
      <c r="AF43"/>
      <c r="AG43"/>
      <c r="AH43"/>
      <c r="AI43"/>
      <c r="AJ43"/>
      <c r="AK43"/>
      <c r="AL43"/>
      <c r="AM43"/>
      <c r="AN43"/>
      <c r="AO43"/>
      <c r="AP43" s="70"/>
      <c r="AQ43" s="70"/>
      <c r="AR43" s="70"/>
      <c r="AS43" s="70"/>
    </row>
    <row r="44" spans="1:45" ht="15.75" customHeight="1">
      <c r="A44" s="237"/>
      <c r="B44" s="238"/>
      <c r="C44" s="238"/>
      <c r="D44" s="238"/>
      <c r="E44" s="238"/>
      <c r="F44" s="238"/>
      <c r="G44" s="238"/>
      <c r="H44" s="238"/>
      <c r="I44" s="238"/>
      <c r="J44" s="238"/>
      <c r="K44" s="239"/>
      <c r="L44" s="87"/>
      <c r="M44" s="10" t="s">
        <v>75</v>
      </c>
      <c r="N44" s="18"/>
      <c r="O44" s="189">
        <v>80</v>
      </c>
      <c r="P44" s="3"/>
      <c r="R44" s="766" t="s">
        <v>465</v>
      </c>
      <c r="S44" s="767"/>
      <c r="T44" s="768"/>
      <c r="U44"/>
      <c r="V44"/>
      <c r="W44"/>
      <c r="X44"/>
      <c r="Y44"/>
      <c r="Z44"/>
      <c r="AA44"/>
      <c r="AB44"/>
      <c r="AC44"/>
      <c r="AD44"/>
      <c r="AE44"/>
      <c r="AF44"/>
      <c r="AG44"/>
      <c r="AH44"/>
      <c r="AI44"/>
      <c r="AJ44"/>
      <c r="AK44"/>
      <c r="AL44"/>
      <c r="AM44"/>
      <c r="AN44"/>
      <c r="AO44"/>
      <c r="AP44" s="70"/>
      <c r="AQ44" s="70"/>
      <c r="AR44" s="70"/>
      <c r="AS44" s="70"/>
    </row>
    <row r="45" spans="1:33" ht="15.75" customHeight="1">
      <c r="A45" s="78" t="s">
        <v>403</v>
      </c>
      <c r="B45" s="112"/>
      <c r="C45" s="112"/>
      <c r="D45" s="112"/>
      <c r="E45" s="79"/>
      <c r="F45" s="79"/>
      <c r="G45" s="210">
        <f>SUM($D$30:$D$39)</f>
        <v>149</v>
      </c>
      <c r="H45" s="80" t="s">
        <v>72</v>
      </c>
      <c r="I45" s="81">
        <f>IF(I43-I42&lt;0,0,I43-I42)</f>
        <v>0</v>
      </c>
      <c r="J45" s="81">
        <f>IF(J43-J42&lt;0,0,J43-J42)</f>
        <v>0</v>
      </c>
      <c r="K45" s="82">
        <f>IF(K43-K42&lt;0,0,K43-K42)</f>
        <v>0</v>
      </c>
      <c r="L45" s="87"/>
      <c r="M45" s="15" t="s">
        <v>76</v>
      </c>
      <c r="N45" s="214"/>
      <c r="O45" s="28"/>
      <c r="P45" s="3"/>
      <c r="R45" s="791" t="s">
        <v>448</v>
      </c>
      <c r="S45" s="792"/>
      <c r="T45" s="793"/>
      <c r="U45"/>
      <c r="V45"/>
      <c r="W45"/>
      <c r="X45"/>
      <c r="Y45"/>
      <c r="Z45"/>
      <c r="AA45"/>
      <c r="AB45"/>
      <c r="AC45"/>
      <c r="AD45"/>
      <c r="AE45" s="5"/>
      <c r="AF45" s="5"/>
      <c r="AG45" s="5"/>
    </row>
    <row r="46" spans="1:33" ht="15.75" customHeight="1">
      <c r="A46" s="78"/>
      <c r="B46" s="79"/>
      <c r="C46" s="79"/>
      <c r="D46" s="79"/>
      <c r="E46" s="79"/>
      <c r="F46" s="79"/>
      <c r="G46" s="112"/>
      <c r="H46" s="83" t="s">
        <v>78</v>
      </c>
      <c r="I46" s="81">
        <f>I45/$G$45</f>
        <v>0</v>
      </c>
      <c r="J46" s="81">
        <f>J45/$G$45</f>
        <v>0</v>
      </c>
      <c r="K46" s="84">
        <f>K45/$G$45</f>
        <v>0</v>
      </c>
      <c r="L46" s="87"/>
      <c r="M46" s="10" t="s">
        <v>77</v>
      </c>
      <c r="N46" s="18"/>
      <c r="O46" s="228">
        <f>(100-O43)/100*N24</f>
        <v>381.33066790000004</v>
      </c>
      <c r="P46" s="3"/>
      <c r="R46" s="563" t="s">
        <v>16</v>
      </c>
      <c r="S46" s="563" t="s">
        <v>17</v>
      </c>
      <c r="T46" s="563" t="s">
        <v>18</v>
      </c>
      <c r="U46"/>
      <c r="V46"/>
      <c r="W46"/>
      <c r="X46"/>
      <c r="Y46"/>
      <c r="Z46"/>
      <c r="AA46"/>
      <c r="AB46"/>
      <c r="AC46"/>
      <c r="AD46"/>
      <c r="AE46" s="5"/>
      <c r="AF46" s="5"/>
      <c r="AG46" s="5"/>
    </row>
    <row r="47" spans="1:33" ht="15.75" customHeight="1">
      <c r="A47" s="78" t="s">
        <v>402</v>
      </c>
      <c r="B47" s="112"/>
      <c r="C47" s="112"/>
      <c r="D47" s="79"/>
      <c r="E47" s="79"/>
      <c r="F47" s="79"/>
      <c r="G47" s="210">
        <f>SUM($D$30:$D$39)</f>
        <v>149</v>
      </c>
      <c r="H47" s="80" t="s">
        <v>72</v>
      </c>
      <c r="I47" s="81">
        <f>IF(I42-I43&lt;0,0,I42-I43)</f>
        <v>9479.743484520002</v>
      </c>
      <c r="J47" s="81">
        <f>IF(J42-J43&lt;0,0,J42-J43)</f>
        <v>1616.0528000000013</v>
      </c>
      <c r="K47" s="82">
        <f>IF(K42-K43&lt;0,0,K42-K43)</f>
        <v>17659.25711</v>
      </c>
      <c r="L47" s="87"/>
      <c r="M47" s="15" t="s">
        <v>79</v>
      </c>
      <c r="N47" s="214"/>
      <c r="O47" s="234" t="s">
        <v>4</v>
      </c>
      <c r="P47" s="3"/>
      <c r="Q47" s="646" t="s">
        <v>463</v>
      </c>
      <c r="R47" s="628">
        <f>I50/(E30*F30)</f>
        <v>28.38284755441696</v>
      </c>
      <c r="S47" s="628">
        <f>J50/(E30*G30)</f>
        <v>106.04625563909774</v>
      </c>
      <c r="T47" s="628">
        <f>K50/(E30*H30)</f>
        <v>50.61169275000001</v>
      </c>
      <c r="U47"/>
      <c r="V47"/>
      <c r="W47"/>
      <c r="X47"/>
      <c r="Y47"/>
      <c r="Z47"/>
      <c r="AA47"/>
      <c r="AB47"/>
      <c r="AC47"/>
      <c r="AD47"/>
      <c r="AE47" s="5"/>
      <c r="AF47" s="5"/>
      <c r="AG47" s="5"/>
    </row>
    <row r="48" spans="1:33" ht="15.75" customHeight="1">
      <c r="A48" s="78"/>
      <c r="B48" s="79"/>
      <c r="C48" s="79"/>
      <c r="D48" s="79"/>
      <c r="E48" s="79"/>
      <c r="F48" s="79"/>
      <c r="G48" s="240"/>
      <c r="H48" s="83" t="s">
        <v>78</v>
      </c>
      <c r="I48" s="81">
        <f>I47/$G$47</f>
        <v>63.62243949342283</v>
      </c>
      <c r="J48" s="81">
        <f>J47/$G$47</f>
        <v>10.845991946308734</v>
      </c>
      <c r="K48" s="82">
        <f>K47/$G$47</f>
        <v>118.51850409395972</v>
      </c>
      <c r="L48" s="87"/>
      <c r="M48" s="14" t="s">
        <v>80</v>
      </c>
      <c r="N48" s="20"/>
      <c r="O48" s="229">
        <f>(O46*O44/(100-O44))+O46</f>
        <v>1906.6533395000001</v>
      </c>
      <c r="P48" s="3"/>
      <c r="Q48" s="638" t="s">
        <v>461</v>
      </c>
      <c r="R48" s="628">
        <f>I43/(E30*F30)</f>
        <v>36.24457160035335</v>
      </c>
      <c r="S48" s="628">
        <f>J43/(E30*G30)</f>
        <v>123.33517794486212</v>
      </c>
      <c r="T48" s="628">
        <f>K43/(E30*H30)</f>
        <v>62.02984136111112</v>
      </c>
      <c r="U48"/>
      <c r="V48"/>
      <c r="W48"/>
      <c r="X48"/>
      <c r="Y48"/>
      <c r="Z48"/>
      <c r="AA48"/>
      <c r="AB48"/>
      <c r="AC48"/>
      <c r="AD48"/>
      <c r="AE48" s="5"/>
      <c r="AF48" s="5"/>
      <c r="AG48" s="5"/>
    </row>
    <row r="49" spans="1:33" ht="15.75" customHeight="1">
      <c r="A49" s="241"/>
      <c r="B49" s="242"/>
      <c r="C49" s="242"/>
      <c r="D49" s="242"/>
      <c r="E49" s="242"/>
      <c r="F49" s="242"/>
      <c r="G49" s="242"/>
      <c r="H49" s="242"/>
      <c r="I49" s="242"/>
      <c r="J49" s="242"/>
      <c r="K49" s="243"/>
      <c r="L49" s="87"/>
      <c r="M49" s="15" t="s">
        <v>81</v>
      </c>
      <c r="N49" s="61"/>
      <c r="O49" s="191"/>
      <c r="P49" s="3"/>
      <c r="Q49"/>
      <c r="R49" s="201" t="s">
        <v>455</v>
      </c>
      <c r="S49"/>
      <c r="T49"/>
      <c r="U49"/>
      <c r="V49"/>
      <c r="W49"/>
      <c r="X49"/>
      <c r="Y49"/>
      <c r="Z49"/>
      <c r="AA49"/>
      <c r="AB49"/>
      <c r="AC49"/>
      <c r="AD49"/>
      <c r="AE49" s="5"/>
      <c r="AF49" s="5"/>
      <c r="AG49" s="5"/>
    </row>
    <row r="50" spans="1:33" ht="15.75" customHeight="1">
      <c r="A50" s="78" t="s">
        <v>456</v>
      </c>
      <c r="B50" s="240"/>
      <c r="C50" s="240"/>
      <c r="D50" s="240"/>
      <c r="E50" s="240"/>
      <c r="F50" s="240"/>
      <c r="G50" s="240"/>
      <c r="H50" s="240"/>
      <c r="I50" s="81">
        <f>M17</f>
        <v>9638.81502948</v>
      </c>
      <c r="J50" s="81">
        <f>N17</f>
        <v>8462.4912</v>
      </c>
      <c r="K50" s="82">
        <f>O17</f>
        <v>18220.209390000004</v>
      </c>
      <c r="L50" s="87"/>
      <c r="M50" s="10" t="s">
        <v>82</v>
      </c>
      <c r="N50" s="18"/>
      <c r="O50" s="190">
        <v>60</v>
      </c>
      <c r="P50" s="3"/>
      <c r="Q50"/>
      <c r="R50" s="201" t="s">
        <v>462</v>
      </c>
      <c r="S50"/>
      <c r="T50"/>
      <c r="U50"/>
      <c r="V50"/>
      <c r="W50"/>
      <c r="X50"/>
      <c r="Y50"/>
      <c r="Z50"/>
      <c r="AA50"/>
      <c r="AB50"/>
      <c r="AC50"/>
      <c r="AD50"/>
      <c r="AE50" s="5"/>
      <c r="AF50" s="5"/>
      <c r="AG50" s="5"/>
    </row>
    <row r="51" spans="1:33" ht="15.75" customHeight="1">
      <c r="A51" s="78" t="s">
        <v>460</v>
      </c>
      <c r="B51" s="85"/>
      <c r="C51" s="85"/>
      <c r="D51" s="85"/>
      <c r="E51" s="85"/>
      <c r="F51" s="86"/>
      <c r="G51" s="86"/>
      <c r="H51" s="86"/>
      <c r="I51" s="350">
        <f>I50/O48</f>
        <v>5.055357903711893</v>
      </c>
      <c r="J51" s="350">
        <f>J50/O48</f>
        <v>4.438400533900515</v>
      </c>
      <c r="K51" s="351">
        <f>K50/O48</f>
        <v>9.556120670985772</v>
      </c>
      <c r="L51" s="87"/>
      <c r="M51" s="15" t="s">
        <v>83</v>
      </c>
      <c r="N51" s="61"/>
      <c r="O51" s="28"/>
      <c r="P51" s="3"/>
      <c r="U51"/>
      <c r="V51"/>
      <c r="W51"/>
      <c r="X51"/>
      <c r="Y51"/>
      <c r="Z51"/>
      <c r="AA51"/>
      <c r="AB51"/>
      <c r="AC51"/>
      <c r="AD51"/>
      <c r="AE51" s="5"/>
      <c r="AF51" s="5"/>
      <c r="AG51" s="5"/>
    </row>
    <row r="52" spans="1:33" ht="15.75" customHeight="1">
      <c r="A52" s="648" t="s">
        <v>454</v>
      </c>
      <c r="B52" s="244"/>
      <c r="C52" s="244"/>
      <c r="D52" s="244"/>
      <c r="E52" s="244"/>
      <c r="F52" s="244"/>
      <c r="G52" s="244"/>
      <c r="H52" s="244"/>
      <c r="I52" s="658">
        <f>I50/I42</f>
        <v>0.4423828748086137</v>
      </c>
      <c r="J52" s="658">
        <f>J50/J42</f>
        <v>0.7385532806199927</v>
      </c>
      <c r="K52" s="659">
        <f>K50/K42</f>
        <v>0.4556191395348838</v>
      </c>
      <c r="L52" s="87"/>
      <c r="M52" s="28" t="s">
        <v>84</v>
      </c>
      <c r="N52" s="28"/>
      <c r="O52" s="190">
        <v>225</v>
      </c>
      <c r="P52" s="3"/>
      <c r="Q52"/>
      <c r="R52"/>
      <c r="S52"/>
      <c r="T52"/>
      <c r="U52"/>
      <c r="V52"/>
      <c r="W52"/>
      <c r="X52"/>
      <c r="Y52"/>
      <c r="Z52"/>
      <c r="AA52"/>
      <c r="AB52"/>
      <c r="AC52"/>
      <c r="AD52"/>
      <c r="AE52" s="5"/>
      <c r="AF52" s="5"/>
      <c r="AG52" s="5"/>
    </row>
    <row r="53" spans="1:33" ht="15.75" customHeight="1">
      <c r="A53" s="651"/>
      <c r="B53" s="650"/>
      <c r="C53" s="650"/>
      <c r="D53" s="650"/>
      <c r="E53" s="650"/>
      <c r="F53" s="650"/>
      <c r="G53" s="650"/>
      <c r="H53" s="650"/>
      <c r="I53" s="655"/>
      <c r="J53" s="655"/>
      <c r="K53" s="656"/>
      <c r="L53" s="87"/>
      <c r="M53" s="115" t="s">
        <v>85</v>
      </c>
      <c r="N53" s="116"/>
      <c r="O53" s="200">
        <f>IF(ISERR(O52*O50/2000)," ",O52*O50/2000)</f>
        <v>6.75</v>
      </c>
      <c r="P53" s="3"/>
      <c r="Q53"/>
      <c r="R53"/>
      <c r="S53"/>
      <c r="T53"/>
      <c r="U53"/>
      <c r="V53"/>
      <c r="W53"/>
      <c r="X53"/>
      <c r="Y53"/>
      <c r="Z53"/>
      <c r="AA53"/>
      <c r="AB53"/>
      <c r="AC53"/>
      <c r="AD53"/>
      <c r="AE53" s="5"/>
      <c r="AF53" s="5"/>
      <c r="AG53" s="5"/>
    </row>
    <row r="54" spans="1:33" ht="15.75" customHeight="1">
      <c r="A54" s="78" t="s">
        <v>457</v>
      </c>
      <c r="B54" s="246"/>
      <c r="C54" s="246"/>
      <c r="D54" s="246"/>
      <c r="E54" s="246"/>
      <c r="F54" s="246"/>
      <c r="G54" s="652"/>
      <c r="H54" s="652"/>
      <c r="I54" s="653">
        <f>J17</f>
        <v>2669.841486</v>
      </c>
      <c r="J54" s="653">
        <f>K17</f>
        <v>1379.656</v>
      </c>
      <c r="K54" s="654">
        <f>L17</f>
        <v>4110.5335</v>
      </c>
      <c r="L54" s="87"/>
      <c r="M54" s="28" t="s">
        <v>86</v>
      </c>
      <c r="N54" s="57"/>
      <c r="O54" s="709">
        <f>IF(ISERR(O48*2000/O50/O52)," ",O48*2000/O50/O52)</f>
        <v>282.46716140740745</v>
      </c>
      <c r="P54" s="3"/>
      <c r="Q54"/>
      <c r="R54"/>
      <c r="S54"/>
      <c r="T54"/>
      <c r="U54"/>
      <c r="V54"/>
      <c r="W54"/>
      <c r="X54"/>
      <c r="Y54"/>
      <c r="Z54"/>
      <c r="AA54"/>
      <c r="AB54"/>
      <c r="AC54"/>
      <c r="AD54"/>
      <c r="AE54" s="5"/>
      <c r="AF54" s="5"/>
      <c r="AG54" s="5"/>
    </row>
    <row r="55" spans="1:33" ht="15.75" customHeight="1">
      <c r="A55" s="78" t="s">
        <v>466</v>
      </c>
      <c r="B55" s="245"/>
      <c r="C55" s="245"/>
      <c r="D55" s="245"/>
      <c r="E55" s="245"/>
      <c r="F55" s="245"/>
      <c r="G55" s="245"/>
      <c r="H55" s="245"/>
      <c r="I55" s="88">
        <f>I54/G47</f>
        <v>17.91839923489933</v>
      </c>
      <c r="J55" s="88">
        <f>J54/G47</f>
        <v>9.259436241610738</v>
      </c>
      <c r="K55" s="89">
        <f>K54/G47</f>
        <v>27.587473154362414</v>
      </c>
      <c r="L55" s="33"/>
      <c r="M55" s="192" t="s">
        <v>87</v>
      </c>
      <c r="N55" s="72"/>
      <c r="O55" s="195">
        <v>1.5</v>
      </c>
      <c r="P55" s="3"/>
      <c r="Q55"/>
      <c r="R55"/>
      <c r="S55"/>
      <c r="T55"/>
      <c r="U55"/>
      <c r="V55"/>
      <c r="W55"/>
      <c r="X55"/>
      <c r="Y55"/>
      <c r="Z55"/>
      <c r="AA55"/>
      <c r="AB55"/>
      <c r="AC55"/>
      <c r="AD55"/>
      <c r="AE55" s="5"/>
      <c r="AF55" s="5"/>
      <c r="AG55" s="5"/>
    </row>
    <row r="56" spans="1:33" ht="15.75" customHeight="1">
      <c r="A56" s="649" t="s">
        <v>4</v>
      </c>
      <c r="B56" s="246"/>
      <c r="C56" s="246"/>
      <c r="D56" s="246"/>
      <c r="E56" s="246"/>
      <c r="F56" s="246"/>
      <c r="G56" s="246"/>
      <c r="H56" s="246"/>
      <c r="I56" s="657" t="s">
        <v>4</v>
      </c>
      <c r="J56" s="246"/>
      <c r="K56" s="247"/>
      <c r="L56" s="248"/>
      <c r="M56" s="193" t="s">
        <v>88</v>
      </c>
      <c r="N56" s="193"/>
      <c r="O56" s="194">
        <f>IF(ISERR(O54/O55)," ",O54/O55)</f>
        <v>188.31144093827163</v>
      </c>
      <c r="P56" s="3"/>
      <c r="Q56"/>
      <c r="R56"/>
      <c r="S56"/>
      <c r="T56"/>
      <c r="U56"/>
      <c r="V56"/>
      <c r="W56"/>
      <c r="X56"/>
      <c r="Y56"/>
      <c r="Z56"/>
      <c r="AA56"/>
      <c r="AB56"/>
      <c r="AC56"/>
      <c r="AD56"/>
      <c r="AE56" s="5"/>
      <c r="AF56" s="5"/>
      <c r="AG56" s="5"/>
    </row>
    <row r="57" spans="1:33" ht="15.75" customHeight="1">
      <c r="A57" s="90" t="s">
        <v>459</v>
      </c>
      <c r="B57" s="91"/>
      <c r="C57" s="91"/>
      <c r="D57" s="91"/>
      <c r="E57" s="91"/>
      <c r="F57" s="91"/>
      <c r="G57" s="91"/>
      <c r="H57" s="92"/>
      <c r="I57" s="660">
        <f>I43/I42</f>
        <v>0.5649178698518477</v>
      </c>
      <c r="J57" s="660">
        <f>J43/J42</f>
        <v>0.8589610235464558</v>
      </c>
      <c r="K57" s="661">
        <f>K43/K42</f>
        <v>0.5584081742935735</v>
      </c>
      <c r="L57" s="30"/>
      <c r="M57" s="2"/>
      <c r="N57" s="2"/>
      <c r="O57" s="2"/>
      <c r="P57" s="3"/>
      <c r="Q57"/>
      <c r="R57"/>
      <c r="S57"/>
      <c r="T57"/>
      <c r="U57"/>
      <c r="V57"/>
      <c r="W57"/>
      <c r="X57"/>
      <c r="Y57"/>
      <c r="Z57"/>
      <c r="AA57"/>
      <c r="AB57"/>
      <c r="AC57"/>
      <c r="AD57"/>
      <c r="AE57" s="5"/>
      <c r="AF57" s="5"/>
      <c r="AG57" s="5"/>
    </row>
    <row r="58" spans="1:33" ht="15.75" customHeight="1">
      <c r="A58" s="30"/>
      <c r="B58" s="30"/>
      <c r="C58" s="30"/>
      <c r="D58" s="30"/>
      <c r="E58" s="30"/>
      <c r="F58" s="30"/>
      <c r="G58" s="30"/>
      <c r="H58" s="30"/>
      <c r="I58" s="30"/>
      <c r="J58" s="30"/>
      <c r="K58" s="30"/>
      <c r="L58" s="2"/>
      <c r="M58" s="2"/>
      <c r="N58" s="2"/>
      <c r="O58" s="2"/>
      <c r="P58" s="3"/>
      <c r="Q58"/>
      <c r="R58"/>
      <c r="S58"/>
      <c r="T58"/>
      <c r="U58"/>
      <c r="V58"/>
      <c r="W58"/>
      <c r="X58"/>
      <c r="Y58"/>
      <c r="Z58"/>
      <c r="AA58"/>
      <c r="AB58"/>
      <c r="AC58"/>
      <c r="AD58"/>
      <c r="AE58" s="5"/>
      <c r="AF58" s="5"/>
      <c r="AG58" s="5"/>
    </row>
    <row r="59" spans="1:33" ht="15.75">
      <c r="A59" s="2"/>
      <c r="B59" s="2"/>
      <c r="C59" s="2"/>
      <c r="D59" s="2"/>
      <c r="E59" s="2"/>
      <c r="F59" s="2"/>
      <c r="G59" s="2"/>
      <c r="H59" s="2"/>
      <c r="I59" s="2"/>
      <c r="J59" s="2"/>
      <c r="K59" s="2"/>
      <c r="L59" s="2"/>
      <c r="M59" s="2"/>
      <c r="N59" s="2"/>
      <c r="O59" s="2"/>
      <c r="P59" s="3"/>
      <c r="Q59"/>
      <c r="R59"/>
      <c r="S59"/>
      <c r="T59"/>
      <c r="U59"/>
      <c r="V59"/>
      <c r="W59"/>
      <c r="X59"/>
      <c r="Y59"/>
      <c r="Z59"/>
      <c r="AA59"/>
      <c r="AB59"/>
      <c r="AC59"/>
      <c r="AD59"/>
      <c r="AE59" s="5"/>
      <c r="AF59" s="5"/>
      <c r="AG59" s="5"/>
    </row>
    <row r="60" spans="1:33" ht="15.75">
      <c r="A60" s="2"/>
      <c r="B60" s="2"/>
      <c r="C60" s="2"/>
      <c r="D60" s="2"/>
      <c r="E60" s="2"/>
      <c r="F60" s="2"/>
      <c r="G60" s="2"/>
      <c r="H60" s="2"/>
      <c r="I60" s="2"/>
      <c r="J60" s="2"/>
      <c r="K60" s="2"/>
      <c r="L60" s="2"/>
      <c r="M60" s="2"/>
      <c r="N60" s="2"/>
      <c r="O60" s="2"/>
      <c r="P60" s="3"/>
      <c r="Q60"/>
      <c r="R60"/>
      <c r="S60"/>
      <c r="T60"/>
      <c r="U60"/>
      <c r="V60"/>
      <c r="W60"/>
      <c r="X60"/>
      <c r="Y60"/>
      <c r="Z60"/>
      <c r="AA60"/>
      <c r="AB60"/>
      <c r="AC60"/>
      <c r="AD60"/>
      <c r="AE60" s="5"/>
      <c r="AF60" s="5"/>
      <c r="AG60" s="5"/>
    </row>
    <row r="61" spans="1:33" ht="15.75">
      <c r="A61" s="2"/>
      <c r="B61" s="2"/>
      <c r="C61" s="2"/>
      <c r="D61" s="2"/>
      <c r="E61" s="2"/>
      <c r="F61" s="2"/>
      <c r="G61" s="2"/>
      <c r="H61" s="2"/>
      <c r="I61" s="2"/>
      <c r="J61" s="2"/>
      <c r="K61" s="2"/>
      <c r="L61" s="2"/>
      <c r="M61" s="2"/>
      <c r="N61" s="2"/>
      <c r="O61" s="2"/>
      <c r="P61" s="3"/>
      <c r="Q61"/>
      <c r="R61"/>
      <c r="S61"/>
      <c r="T61"/>
      <c r="U61"/>
      <c r="V61"/>
      <c r="W61"/>
      <c r="X61"/>
      <c r="Y61"/>
      <c r="Z61"/>
      <c r="AA61"/>
      <c r="AB61"/>
      <c r="AC61"/>
      <c r="AD61"/>
      <c r="AE61" s="5"/>
      <c r="AF61" s="5"/>
      <c r="AG61" s="5"/>
    </row>
    <row r="62" spans="1:33" ht="15.75">
      <c r="A62" s="2"/>
      <c r="B62" s="2"/>
      <c r="C62" s="2"/>
      <c r="D62" s="2"/>
      <c r="E62" s="2"/>
      <c r="F62" s="2"/>
      <c r="G62" s="2"/>
      <c r="H62" s="2"/>
      <c r="I62" s="2"/>
      <c r="J62" s="2"/>
      <c r="K62" s="2"/>
      <c r="L62" s="2"/>
      <c r="M62" s="2"/>
      <c r="N62" s="2"/>
      <c r="O62" s="2"/>
      <c r="P62" s="3"/>
      <c r="Q62"/>
      <c r="R62"/>
      <c r="S62"/>
      <c r="T62"/>
      <c r="U62"/>
      <c r="V62"/>
      <c r="W62"/>
      <c r="X62"/>
      <c r="Y62"/>
      <c r="Z62"/>
      <c r="AA62"/>
      <c r="AB62"/>
      <c r="AC62"/>
      <c r="AD62"/>
      <c r="AE62" s="5"/>
      <c r="AF62" s="5"/>
      <c r="AG62" s="5"/>
    </row>
    <row r="63" spans="1:33" ht="15.75">
      <c r="A63" s="2"/>
      <c r="B63" s="2"/>
      <c r="C63" s="2"/>
      <c r="D63" s="2"/>
      <c r="E63" s="2"/>
      <c r="F63" s="2"/>
      <c r="G63" s="2"/>
      <c r="H63" s="2"/>
      <c r="I63" s="2"/>
      <c r="J63" s="2"/>
      <c r="K63" s="2"/>
      <c r="L63" s="2"/>
      <c r="M63" s="2"/>
      <c r="N63" s="2"/>
      <c r="O63" s="2"/>
      <c r="P63" s="3"/>
      <c r="Q63"/>
      <c r="R63"/>
      <c r="S63"/>
      <c r="T63"/>
      <c r="U63"/>
      <c r="V63"/>
      <c r="W63"/>
      <c r="X63"/>
      <c r="Y63"/>
      <c r="Z63"/>
      <c r="AA63"/>
      <c r="AB63"/>
      <c r="AC63"/>
      <c r="AD63"/>
      <c r="AE63" s="5"/>
      <c r="AF63" s="5"/>
      <c r="AG63" s="5"/>
    </row>
    <row r="64" spans="1:33" ht="15.75">
      <c r="A64" s="2"/>
      <c r="B64" s="2"/>
      <c r="C64" s="2"/>
      <c r="D64" s="2"/>
      <c r="E64" s="2"/>
      <c r="F64" s="2"/>
      <c r="G64" s="2"/>
      <c r="H64" s="2"/>
      <c r="I64" s="2"/>
      <c r="J64" s="2"/>
      <c r="K64" s="2"/>
      <c r="L64" s="2"/>
      <c r="M64" s="2"/>
      <c r="N64" s="2"/>
      <c r="O64" s="2"/>
      <c r="P64" s="3"/>
      <c r="Q64"/>
      <c r="R64"/>
      <c r="S64"/>
      <c r="T64"/>
      <c r="U64"/>
      <c r="V64"/>
      <c r="W64"/>
      <c r="X64"/>
      <c r="Y64"/>
      <c r="Z64"/>
      <c r="AA64"/>
      <c r="AB64"/>
      <c r="AC64"/>
      <c r="AD64"/>
      <c r="AE64" s="5"/>
      <c r="AF64" s="5"/>
      <c r="AG64" s="5"/>
    </row>
    <row r="65" spans="1:30" ht="15.75">
      <c r="A65" s="2"/>
      <c r="B65" s="2"/>
      <c r="C65" s="2"/>
      <c r="D65" s="2"/>
      <c r="E65" s="2"/>
      <c r="F65" s="2"/>
      <c r="G65" s="2"/>
      <c r="H65" s="2"/>
      <c r="I65" s="2"/>
      <c r="J65" s="2"/>
      <c r="K65" s="2"/>
      <c r="L65" s="2"/>
      <c r="M65" s="2"/>
      <c r="N65" s="2"/>
      <c r="O65" s="2"/>
      <c r="P65" s="3"/>
      <c r="Q65"/>
      <c r="R65"/>
      <c r="S65"/>
      <c r="T65"/>
      <c r="U65"/>
      <c r="V65"/>
      <c r="W65"/>
      <c r="X65"/>
      <c r="Y65"/>
      <c r="Z65"/>
      <c r="AA65"/>
      <c r="AB65"/>
      <c r="AC65"/>
      <c r="AD65"/>
    </row>
    <row r="66" spans="1:30" ht="15.75">
      <c r="A66" s="2"/>
      <c r="B66" s="2"/>
      <c r="C66" s="2"/>
      <c r="D66" s="2"/>
      <c r="E66" s="2"/>
      <c r="F66" s="2"/>
      <c r="G66" s="2"/>
      <c r="H66" s="2"/>
      <c r="I66" s="2"/>
      <c r="J66" s="2"/>
      <c r="K66" s="2"/>
      <c r="L66" s="2"/>
      <c r="M66" s="2"/>
      <c r="N66" s="2"/>
      <c r="O66" s="2"/>
      <c r="P66" s="3"/>
      <c r="Q66"/>
      <c r="R66"/>
      <c r="S66"/>
      <c r="T66"/>
      <c r="U66"/>
      <c r="V66"/>
      <c r="W66"/>
      <c r="X66"/>
      <c r="Y66"/>
      <c r="Z66"/>
      <c r="AA66"/>
      <c r="AB66"/>
      <c r="AC66"/>
      <c r="AD66"/>
    </row>
    <row r="67" spans="1:30" ht="15.75">
      <c r="A67" s="2"/>
      <c r="B67" s="2"/>
      <c r="C67" s="2"/>
      <c r="D67" s="2"/>
      <c r="E67" s="2"/>
      <c r="F67" s="2"/>
      <c r="G67" s="2"/>
      <c r="H67" s="2"/>
      <c r="I67" s="2"/>
      <c r="J67" s="2"/>
      <c r="K67" s="2"/>
      <c r="L67" s="2"/>
      <c r="M67" s="2"/>
      <c r="N67" s="2"/>
      <c r="O67" s="2"/>
      <c r="P67" s="3"/>
      <c r="Q67"/>
      <c r="R67"/>
      <c r="S67"/>
      <c r="T67"/>
      <c r="U67"/>
      <c r="V67"/>
      <c r="W67"/>
      <c r="X67"/>
      <c r="Y67"/>
      <c r="Z67"/>
      <c r="AA67"/>
      <c r="AB67"/>
      <c r="AC67"/>
      <c r="AD67"/>
    </row>
    <row r="68" spans="1:30" ht="15.75">
      <c r="A68" s="2"/>
      <c r="B68" s="2"/>
      <c r="C68" s="2"/>
      <c r="D68" s="2"/>
      <c r="E68" s="2"/>
      <c r="F68" s="2"/>
      <c r="G68" s="2"/>
      <c r="H68" s="2"/>
      <c r="I68" s="2"/>
      <c r="J68" s="2"/>
      <c r="K68" s="2"/>
      <c r="L68" s="2"/>
      <c r="M68" s="2"/>
      <c r="N68" s="2"/>
      <c r="O68" s="2"/>
      <c r="P68" s="3"/>
      <c r="Q68"/>
      <c r="R68"/>
      <c r="S68"/>
      <c r="T68"/>
      <c r="U68"/>
      <c r="V68"/>
      <c r="W68"/>
      <c r="X68"/>
      <c r="Y68"/>
      <c r="Z68"/>
      <c r="AA68"/>
      <c r="AB68"/>
      <c r="AC68"/>
      <c r="AD68"/>
    </row>
    <row r="69" spans="1:30" ht="15.75">
      <c r="A69" s="2"/>
      <c r="B69" s="2"/>
      <c r="C69" s="2"/>
      <c r="D69" s="2"/>
      <c r="E69" s="2"/>
      <c r="F69" s="2"/>
      <c r="G69" s="2"/>
      <c r="H69" s="2"/>
      <c r="I69" s="2"/>
      <c r="J69" s="2"/>
      <c r="K69" s="2"/>
      <c r="L69" s="2"/>
      <c r="M69" s="2"/>
      <c r="N69" s="2"/>
      <c r="O69" s="2"/>
      <c r="P69" s="3"/>
      <c r="AC69"/>
      <c r="AD69"/>
    </row>
    <row r="70" spans="1:29" ht="15.75">
      <c r="A70" s="2"/>
      <c r="B70" s="2"/>
      <c r="C70" s="2"/>
      <c r="D70" s="2"/>
      <c r="E70" s="2"/>
      <c r="F70" s="2"/>
      <c r="G70" s="2"/>
      <c r="H70" s="2"/>
      <c r="I70" s="2"/>
      <c r="J70" s="2"/>
      <c r="K70" s="2"/>
      <c r="L70" s="2"/>
      <c r="M70" s="2"/>
      <c r="N70" s="2"/>
      <c r="O70" s="2"/>
      <c r="P70" s="3"/>
      <c r="AC70"/>
    </row>
    <row r="71" spans="1:29" ht="15.75">
      <c r="A71" s="2"/>
      <c r="B71" s="2"/>
      <c r="C71" s="2"/>
      <c r="D71" s="2"/>
      <c r="E71" s="2"/>
      <c r="F71" s="2"/>
      <c r="G71" s="2"/>
      <c r="H71" s="2"/>
      <c r="I71" s="2"/>
      <c r="J71" s="2"/>
      <c r="K71" s="2"/>
      <c r="L71" s="2"/>
      <c r="M71" s="2"/>
      <c r="N71" s="2"/>
      <c r="O71" s="2"/>
      <c r="P71" s="3"/>
      <c r="AC71"/>
    </row>
    <row r="72" spans="1:29" ht="15.75">
      <c r="A72" s="2"/>
      <c r="B72" s="2"/>
      <c r="C72" s="2"/>
      <c r="D72" s="2"/>
      <c r="E72" s="2"/>
      <c r="F72" s="2"/>
      <c r="G72" s="2"/>
      <c r="H72" s="2"/>
      <c r="I72" s="2"/>
      <c r="J72" s="2"/>
      <c r="K72" s="2"/>
      <c r="L72" s="2"/>
      <c r="M72" s="2"/>
      <c r="N72" s="2"/>
      <c r="O72" s="2"/>
      <c r="P72" s="3"/>
      <c r="AC72"/>
    </row>
    <row r="73" spans="1:29" ht="15.75">
      <c r="A73" s="2"/>
      <c r="B73" s="2"/>
      <c r="C73" s="2"/>
      <c r="D73" s="2"/>
      <c r="E73" s="2"/>
      <c r="F73" s="2"/>
      <c r="G73" s="2"/>
      <c r="H73" s="2"/>
      <c r="I73" s="2"/>
      <c r="J73" s="2"/>
      <c r="K73" s="2"/>
      <c r="L73" s="2"/>
      <c r="M73" s="2"/>
      <c r="N73" s="2"/>
      <c r="O73" s="2"/>
      <c r="P73" s="3"/>
      <c r="AC73"/>
    </row>
    <row r="74" spans="1:29" ht="15.75">
      <c r="A74" s="2"/>
      <c r="B74" s="2"/>
      <c r="C74" s="2"/>
      <c r="D74" s="2"/>
      <c r="E74" s="2"/>
      <c r="F74" s="2"/>
      <c r="G74" s="2"/>
      <c r="H74" s="2"/>
      <c r="I74" s="2"/>
      <c r="J74" s="2"/>
      <c r="K74" s="2"/>
      <c r="L74" s="2"/>
      <c r="M74" s="2"/>
      <c r="N74" s="2"/>
      <c r="O74" s="2"/>
      <c r="P74" s="3"/>
      <c r="AC74"/>
    </row>
    <row r="75" spans="1:29" ht="15.75">
      <c r="A75" s="2"/>
      <c r="B75" s="2"/>
      <c r="C75" s="2"/>
      <c r="D75" s="2"/>
      <c r="E75" s="2"/>
      <c r="F75" s="2"/>
      <c r="G75" s="2"/>
      <c r="H75" s="2"/>
      <c r="I75" s="2"/>
      <c r="J75" s="2"/>
      <c r="K75" s="2"/>
      <c r="L75" s="2"/>
      <c r="M75" s="2"/>
      <c r="N75" s="2"/>
      <c r="O75" s="2"/>
      <c r="P75" s="3"/>
      <c r="AC75"/>
    </row>
    <row r="76" spans="1:29" ht="15.75">
      <c r="A76" s="2"/>
      <c r="B76" s="2"/>
      <c r="C76" s="2"/>
      <c r="D76" s="2"/>
      <c r="E76" s="2"/>
      <c r="F76" s="2"/>
      <c r="G76" s="2"/>
      <c r="H76" s="2"/>
      <c r="I76" s="2"/>
      <c r="J76" s="2"/>
      <c r="K76" s="2"/>
      <c r="L76" s="2"/>
      <c r="M76" s="2"/>
      <c r="N76" s="2"/>
      <c r="O76" s="2"/>
      <c r="P76" s="3"/>
      <c r="AC76"/>
    </row>
    <row r="77" spans="1:29" ht="15.75">
      <c r="A77" s="2"/>
      <c r="B77" s="2"/>
      <c r="C77" s="2"/>
      <c r="D77" s="2"/>
      <c r="E77" s="2"/>
      <c r="F77" s="2"/>
      <c r="G77" s="2"/>
      <c r="H77" s="2"/>
      <c r="I77" s="2"/>
      <c r="J77" s="2"/>
      <c r="K77" s="2"/>
      <c r="L77" s="2"/>
      <c r="M77" s="2"/>
      <c r="N77" s="2"/>
      <c r="O77" s="2"/>
      <c r="P77" s="3"/>
      <c r="AC77"/>
    </row>
    <row r="78" spans="1:29" ht="15.75">
      <c r="A78" s="2"/>
      <c r="B78" s="2"/>
      <c r="C78" s="2"/>
      <c r="D78" s="2"/>
      <c r="E78" s="2"/>
      <c r="F78" s="2"/>
      <c r="G78" s="2"/>
      <c r="H78" s="2"/>
      <c r="I78" s="2"/>
      <c r="J78" s="2"/>
      <c r="K78" s="2"/>
      <c r="L78" s="2"/>
      <c r="M78" s="2"/>
      <c r="N78" s="2"/>
      <c r="O78" s="2"/>
      <c r="P78" s="3"/>
      <c r="AC78"/>
    </row>
    <row r="79" spans="1:29" ht="15.75">
      <c r="A79" s="2"/>
      <c r="B79" s="2"/>
      <c r="C79" s="2"/>
      <c r="D79" s="2"/>
      <c r="E79" s="2"/>
      <c r="F79" s="2"/>
      <c r="G79" s="2"/>
      <c r="H79" s="2"/>
      <c r="I79" s="2"/>
      <c r="J79" s="2"/>
      <c r="K79" s="2"/>
      <c r="L79" s="2"/>
      <c r="M79" s="2"/>
      <c r="N79" s="2"/>
      <c r="O79" s="2"/>
      <c r="P79" s="3"/>
      <c r="AC79"/>
    </row>
    <row r="80" spans="1:29" ht="15.75">
      <c r="A80" s="2"/>
      <c r="B80" s="2"/>
      <c r="C80" s="2"/>
      <c r="D80" s="2"/>
      <c r="E80" s="2"/>
      <c r="F80" s="2"/>
      <c r="G80" s="2"/>
      <c r="H80" s="2"/>
      <c r="I80" s="2"/>
      <c r="J80" s="2"/>
      <c r="K80" s="2"/>
      <c r="L80" s="2"/>
      <c r="M80" s="2"/>
      <c r="N80" s="2"/>
      <c r="O80" s="2"/>
      <c r="P80" s="3"/>
      <c r="AC80"/>
    </row>
    <row r="81" spans="1:16" ht="15.75">
      <c r="A81" s="2"/>
      <c r="B81" s="2"/>
      <c r="C81" s="2"/>
      <c r="D81" s="2"/>
      <c r="E81" s="2"/>
      <c r="F81" s="2"/>
      <c r="G81" s="2"/>
      <c r="H81" s="2"/>
      <c r="I81" s="2"/>
      <c r="J81" s="2"/>
      <c r="K81" s="2"/>
      <c r="L81" s="2"/>
      <c r="M81" s="2"/>
      <c r="N81" s="2"/>
      <c r="O81" s="2"/>
      <c r="P81" s="3"/>
    </row>
    <row r="82" spans="1:16" ht="15.75">
      <c r="A82" s="2"/>
      <c r="B82" s="2"/>
      <c r="C82" s="2"/>
      <c r="D82" s="2"/>
      <c r="E82" s="2"/>
      <c r="F82" s="2"/>
      <c r="G82" s="2"/>
      <c r="H82" s="2"/>
      <c r="I82" s="2"/>
      <c r="J82" s="2"/>
      <c r="K82" s="2"/>
      <c r="L82" s="2"/>
      <c r="M82" s="2"/>
      <c r="N82" s="2"/>
      <c r="O82" s="2"/>
      <c r="P82" s="3"/>
    </row>
    <row r="83" spans="1:16" ht="15.75">
      <c r="A83" s="2"/>
      <c r="B83" s="2"/>
      <c r="C83" s="2"/>
      <c r="D83" s="2"/>
      <c r="E83" s="2"/>
      <c r="F83" s="2"/>
      <c r="G83" s="2"/>
      <c r="H83" s="2"/>
      <c r="I83" s="2"/>
      <c r="J83" s="2"/>
      <c r="K83" s="2"/>
      <c r="L83" s="2"/>
      <c r="M83" s="2"/>
      <c r="N83" s="2"/>
      <c r="O83" s="2"/>
      <c r="P83" s="3"/>
    </row>
    <row r="84" spans="1:16" ht="15.75">
      <c r="A84" s="2"/>
      <c r="B84" s="2"/>
      <c r="C84" s="2"/>
      <c r="D84" s="2"/>
      <c r="E84" s="2"/>
      <c r="F84" s="2"/>
      <c r="G84" s="2"/>
      <c r="H84" s="2"/>
      <c r="I84" s="2"/>
      <c r="J84" s="2"/>
      <c r="K84" s="2"/>
      <c r="L84" s="2"/>
      <c r="M84" s="2"/>
      <c r="N84" s="2"/>
      <c r="O84" s="2"/>
      <c r="P84" s="3"/>
    </row>
    <row r="85" spans="1:16" ht="15.75">
      <c r="A85" s="2"/>
      <c r="B85" s="2"/>
      <c r="C85" s="2"/>
      <c r="D85" s="2"/>
      <c r="E85" s="2"/>
      <c r="F85" s="2"/>
      <c r="G85" s="2"/>
      <c r="H85" s="2"/>
      <c r="I85" s="2"/>
      <c r="J85" s="2"/>
      <c r="K85" s="2"/>
      <c r="L85" s="2"/>
      <c r="M85" s="2"/>
      <c r="N85" s="2"/>
      <c r="O85" s="2"/>
      <c r="P85" s="3"/>
    </row>
    <row r="86" spans="1:16" ht="15.75">
      <c r="A86" s="2"/>
      <c r="B86" s="2"/>
      <c r="C86" s="2"/>
      <c r="D86" s="2"/>
      <c r="E86" s="2"/>
      <c r="F86" s="2"/>
      <c r="G86" s="2"/>
      <c r="H86" s="2"/>
      <c r="I86" s="2"/>
      <c r="J86" s="2"/>
      <c r="K86" s="2"/>
      <c r="L86" s="2"/>
      <c r="M86" s="2"/>
      <c r="N86" s="2"/>
      <c r="O86" s="2"/>
      <c r="P86" s="3"/>
    </row>
    <row r="87" spans="1:16" ht="15.75">
      <c r="A87" s="2"/>
      <c r="B87" s="2"/>
      <c r="C87" s="2"/>
      <c r="D87" s="2"/>
      <c r="E87" s="2"/>
      <c r="F87" s="2"/>
      <c r="G87" s="2"/>
      <c r="H87" s="2"/>
      <c r="I87" s="2"/>
      <c r="J87" s="2"/>
      <c r="K87" s="2"/>
      <c r="L87" s="2"/>
      <c r="M87" s="2"/>
      <c r="N87" s="2"/>
      <c r="O87" s="2"/>
      <c r="P87" s="3"/>
    </row>
    <row r="88" spans="1:16" ht="15.75">
      <c r="A88" s="2"/>
      <c r="B88" s="2"/>
      <c r="C88" s="2"/>
      <c r="D88" s="2"/>
      <c r="E88" s="2"/>
      <c r="F88" s="2"/>
      <c r="G88" s="2"/>
      <c r="H88" s="2"/>
      <c r="I88" s="2"/>
      <c r="J88" s="2"/>
      <c r="K88" s="2"/>
      <c r="L88" s="2"/>
      <c r="M88" s="2"/>
      <c r="N88" s="2"/>
      <c r="O88" s="2"/>
      <c r="P88" s="3"/>
    </row>
    <row r="89" spans="1:16" ht="15.75">
      <c r="A89" s="2"/>
      <c r="B89" s="2"/>
      <c r="C89" s="2"/>
      <c r="D89" s="2"/>
      <c r="E89" s="2"/>
      <c r="F89" s="2"/>
      <c r="G89" s="2"/>
      <c r="H89" s="2"/>
      <c r="I89" s="2"/>
      <c r="J89" s="2"/>
      <c r="K89" s="2"/>
      <c r="L89" s="2"/>
      <c r="M89" s="2"/>
      <c r="N89" s="2"/>
      <c r="O89" s="2"/>
      <c r="P89" s="3"/>
    </row>
    <row r="90" spans="1:16" ht="15.75">
      <c r="A90" s="2"/>
      <c r="B90" s="2"/>
      <c r="C90" s="2"/>
      <c r="D90" s="2"/>
      <c r="E90" s="2"/>
      <c r="F90" s="2"/>
      <c r="G90" s="2"/>
      <c r="H90" s="2"/>
      <c r="I90" s="2"/>
      <c r="J90" s="2"/>
      <c r="K90" s="2"/>
      <c r="L90" s="2"/>
      <c r="M90" s="2"/>
      <c r="N90" s="2"/>
      <c r="O90" s="2"/>
      <c r="P90" s="3"/>
    </row>
    <row r="91" spans="1:16" ht="15.75">
      <c r="A91" s="2"/>
      <c r="B91" s="2"/>
      <c r="C91" s="2"/>
      <c r="D91" s="2"/>
      <c r="E91" s="2"/>
      <c r="F91" s="2"/>
      <c r="G91" s="2"/>
      <c r="H91" s="2"/>
      <c r="I91" s="2"/>
      <c r="J91" s="2"/>
      <c r="K91" s="2"/>
      <c r="L91" s="2"/>
      <c r="M91" s="2"/>
      <c r="N91" s="2"/>
      <c r="O91" s="2"/>
      <c r="P91" s="3"/>
    </row>
    <row r="92" spans="1:16" ht="15.75">
      <c r="A92" s="2"/>
      <c r="B92" s="2"/>
      <c r="C92" s="2"/>
      <c r="D92" s="2"/>
      <c r="E92" s="2"/>
      <c r="F92" s="2"/>
      <c r="G92" s="2"/>
      <c r="H92" s="2"/>
      <c r="I92" s="2"/>
      <c r="J92" s="2"/>
      <c r="K92" s="2"/>
      <c r="L92" s="2"/>
      <c r="M92" s="2"/>
      <c r="N92" s="2"/>
      <c r="O92" s="2"/>
      <c r="P92" s="3"/>
    </row>
    <row r="93" spans="1:16" ht="15.75">
      <c r="A93" s="2"/>
      <c r="B93" s="2"/>
      <c r="C93" s="2"/>
      <c r="D93" s="2"/>
      <c r="E93" s="2"/>
      <c r="F93" s="2"/>
      <c r="G93" s="2"/>
      <c r="H93" s="2"/>
      <c r="I93" s="2"/>
      <c r="J93" s="2"/>
      <c r="K93" s="2"/>
      <c r="L93" s="2"/>
      <c r="M93" s="2"/>
      <c r="N93" s="2"/>
      <c r="O93" s="2"/>
      <c r="P93" s="3"/>
    </row>
    <row r="94" spans="1:16" ht="15.75">
      <c r="A94" s="2"/>
      <c r="B94" s="2"/>
      <c r="C94" s="2"/>
      <c r="D94" s="2"/>
      <c r="E94" s="2"/>
      <c r="F94" s="2"/>
      <c r="G94" s="2"/>
      <c r="H94" s="2"/>
      <c r="I94" s="2"/>
      <c r="J94" s="2"/>
      <c r="K94" s="2"/>
      <c r="L94" s="2"/>
      <c r="M94" s="2"/>
      <c r="N94" s="2"/>
      <c r="O94" s="2"/>
      <c r="P94" s="3"/>
    </row>
    <row r="95" spans="1:16" ht="15.75">
      <c r="A95" s="2"/>
      <c r="B95" s="2"/>
      <c r="C95" s="2"/>
      <c r="D95" s="2"/>
      <c r="E95" s="2"/>
      <c r="F95" s="2"/>
      <c r="G95" s="2"/>
      <c r="H95" s="2"/>
      <c r="I95" s="2"/>
      <c r="J95" s="2"/>
      <c r="K95" s="2"/>
      <c r="L95" s="2"/>
      <c r="M95" s="2"/>
      <c r="N95" s="2"/>
      <c r="O95" s="2"/>
      <c r="P95" s="3"/>
    </row>
    <row r="96" spans="1:16" ht="15.75">
      <c r="A96" s="2"/>
      <c r="B96" s="2"/>
      <c r="C96" s="2"/>
      <c r="D96" s="2"/>
      <c r="E96" s="2"/>
      <c r="F96" s="2"/>
      <c r="G96" s="2"/>
      <c r="H96" s="2"/>
      <c r="I96" s="2"/>
      <c r="J96" s="2"/>
      <c r="K96" s="2"/>
      <c r="L96" s="2"/>
      <c r="M96" s="2"/>
      <c r="N96" s="2"/>
      <c r="O96" s="2"/>
      <c r="P96" s="3"/>
    </row>
    <row r="97" spans="1:16" ht="15.75">
      <c r="A97" s="2"/>
      <c r="B97" s="2"/>
      <c r="C97" s="2"/>
      <c r="D97" s="2"/>
      <c r="E97" s="2"/>
      <c r="F97" s="2"/>
      <c r="G97" s="2"/>
      <c r="H97" s="2"/>
      <c r="I97" s="2"/>
      <c r="J97" s="2"/>
      <c r="K97" s="2"/>
      <c r="L97" s="2"/>
      <c r="M97" s="2"/>
      <c r="N97" s="2"/>
      <c r="O97" s="2"/>
      <c r="P97" s="3"/>
    </row>
    <row r="98" spans="1:16" ht="15.75">
      <c r="A98" s="2"/>
      <c r="B98" s="2"/>
      <c r="C98" s="2"/>
      <c r="D98" s="2"/>
      <c r="E98" s="2"/>
      <c r="F98" s="2"/>
      <c r="G98" s="2"/>
      <c r="H98" s="2"/>
      <c r="I98" s="2"/>
      <c r="J98" s="2"/>
      <c r="K98" s="2"/>
      <c r="L98" s="2"/>
      <c r="M98" s="2"/>
      <c r="N98" s="2"/>
      <c r="O98" s="2"/>
      <c r="P98" s="3"/>
    </row>
    <row r="99" spans="1:16" ht="15.75">
      <c r="A99" s="2"/>
      <c r="B99" s="2"/>
      <c r="C99" s="2"/>
      <c r="D99" s="2"/>
      <c r="E99" s="2"/>
      <c r="F99" s="2"/>
      <c r="G99" s="2"/>
      <c r="H99" s="2"/>
      <c r="I99" s="2"/>
      <c r="J99" s="2"/>
      <c r="K99" s="2"/>
      <c r="L99" s="2"/>
      <c r="M99" s="2"/>
      <c r="N99" s="2"/>
      <c r="O99" s="2"/>
      <c r="P99" s="3"/>
    </row>
    <row r="100" spans="1:16" ht="15.75">
      <c r="A100" s="2"/>
      <c r="B100" s="2"/>
      <c r="C100" s="2"/>
      <c r="D100" s="2"/>
      <c r="E100" s="2"/>
      <c r="F100" s="2"/>
      <c r="G100" s="2"/>
      <c r="H100" s="2"/>
      <c r="I100" s="2"/>
      <c r="J100" s="2"/>
      <c r="K100" s="2"/>
      <c r="L100" s="2"/>
      <c r="M100" s="2"/>
      <c r="N100" s="2"/>
      <c r="O100" s="2"/>
      <c r="P100" s="3"/>
    </row>
    <row r="101" spans="1:16" ht="15.75">
      <c r="A101" s="2"/>
      <c r="B101" s="2"/>
      <c r="C101" s="2"/>
      <c r="D101" s="2"/>
      <c r="E101" s="2"/>
      <c r="F101" s="2"/>
      <c r="G101" s="2"/>
      <c r="H101" s="2"/>
      <c r="I101" s="2"/>
      <c r="J101" s="2"/>
      <c r="K101" s="2"/>
      <c r="L101" s="2"/>
      <c r="M101" s="2"/>
      <c r="N101" s="2"/>
      <c r="O101" s="2"/>
      <c r="P101" s="3"/>
    </row>
    <row r="102" spans="1:15" ht="12.75">
      <c r="A102" s="2"/>
      <c r="B102" s="2"/>
      <c r="C102" s="2"/>
      <c r="D102" s="2"/>
      <c r="E102" s="2"/>
      <c r="F102" s="2"/>
      <c r="G102" s="2"/>
      <c r="H102" s="2"/>
      <c r="I102" s="2"/>
      <c r="J102" s="2"/>
      <c r="K102" s="2"/>
      <c r="L102" s="2"/>
      <c r="M102" s="2"/>
      <c r="N102" s="2"/>
      <c r="O102" s="2"/>
    </row>
    <row r="103" spans="1:15" ht="12.75">
      <c r="A103" s="2"/>
      <c r="B103" s="2"/>
      <c r="C103" s="2"/>
      <c r="D103" s="2"/>
      <c r="E103" s="2"/>
      <c r="F103" s="2"/>
      <c r="G103" s="2"/>
      <c r="H103" s="2"/>
      <c r="I103" s="2"/>
      <c r="J103" s="2"/>
      <c r="K103" s="2"/>
      <c r="L103" s="2"/>
      <c r="M103" s="2"/>
      <c r="N103" s="2"/>
      <c r="O103" s="2"/>
    </row>
    <row r="104" spans="1:15" ht="12.75">
      <c r="A104" s="2"/>
      <c r="B104" s="2"/>
      <c r="C104" s="2"/>
      <c r="D104" s="2"/>
      <c r="E104" s="2"/>
      <c r="F104" s="2"/>
      <c r="G104" s="2"/>
      <c r="H104" s="2"/>
      <c r="I104" s="2"/>
      <c r="J104" s="2"/>
      <c r="K104" s="2"/>
      <c r="L104" s="2"/>
      <c r="M104" s="2"/>
      <c r="N104" s="2"/>
      <c r="O104" s="2"/>
    </row>
    <row r="105" spans="1:15" ht="12.75">
      <c r="A105" s="2"/>
      <c r="B105" s="2"/>
      <c r="C105" s="2"/>
      <c r="D105" s="2"/>
      <c r="E105" s="2"/>
      <c r="F105" s="2"/>
      <c r="G105" s="2"/>
      <c r="H105" s="2"/>
      <c r="I105" s="2"/>
      <c r="J105" s="2"/>
      <c r="K105" s="2"/>
      <c r="L105" s="2"/>
      <c r="M105" s="2"/>
      <c r="N105" s="2"/>
      <c r="O105" s="2"/>
    </row>
    <row r="106" spans="1:15" ht="12.75">
      <c r="A106" s="2"/>
      <c r="B106" s="2"/>
      <c r="C106" s="2"/>
      <c r="D106" s="2"/>
      <c r="E106" s="2"/>
      <c r="F106" s="2"/>
      <c r="G106" s="2"/>
      <c r="H106" s="2"/>
      <c r="I106" s="2"/>
      <c r="J106" s="2"/>
      <c r="K106" s="2"/>
      <c r="L106" s="2"/>
      <c r="M106" s="2"/>
      <c r="N106" s="2"/>
      <c r="O106" s="2"/>
    </row>
    <row r="107" spans="1:15" ht="12.75">
      <c r="A107" s="2"/>
      <c r="B107" s="2"/>
      <c r="C107" s="2"/>
      <c r="D107" s="2"/>
      <c r="E107" s="2"/>
      <c r="F107" s="2"/>
      <c r="G107" s="2"/>
      <c r="H107" s="2"/>
      <c r="I107" s="2"/>
      <c r="J107" s="2"/>
      <c r="K107" s="2"/>
      <c r="L107" s="2"/>
      <c r="M107" s="2"/>
      <c r="N107" s="2"/>
      <c r="O107" s="2"/>
    </row>
    <row r="108" spans="1:15" ht="12.75">
      <c r="A108" s="2"/>
      <c r="B108" s="2"/>
      <c r="C108" s="2"/>
      <c r="D108" s="2"/>
      <c r="E108" s="2"/>
      <c r="F108" s="2"/>
      <c r="G108" s="2"/>
      <c r="H108" s="2"/>
      <c r="I108" s="2"/>
      <c r="J108" s="2"/>
      <c r="K108" s="2"/>
      <c r="L108" s="2"/>
      <c r="M108" s="2"/>
      <c r="N108" s="2"/>
      <c r="O108" s="2"/>
    </row>
    <row r="109" spans="1:15" ht="12.75">
      <c r="A109" s="2"/>
      <c r="B109" s="2"/>
      <c r="C109" s="2"/>
      <c r="D109" s="2"/>
      <c r="E109" s="2"/>
      <c r="F109" s="2"/>
      <c r="G109" s="2"/>
      <c r="H109" s="2"/>
      <c r="I109" s="2"/>
      <c r="J109" s="2"/>
      <c r="K109" s="2"/>
      <c r="L109" s="2"/>
      <c r="M109" s="2"/>
      <c r="N109" s="2"/>
      <c r="O109" s="2"/>
    </row>
    <row r="110" spans="1:12" ht="12.75">
      <c r="A110" s="2"/>
      <c r="B110" s="2"/>
      <c r="C110" s="2"/>
      <c r="D110" s="2"/>
      <c r="E110" s="2"/>
      <c r="F110" s="2"/>
      <c r="G110" s="2"/>
      <c r="H110" s="2"/>
      <c r="I110" s="2"/>
      <c r="J110" s="2"/>
      <c r="K110" s="2"/>
      <c r="L110" s="2"/>
    </row>
    <row r="111" spans="1:11" ht="12.75">
      <c r="A111" s="2"/>
      <c r="B111" s="2"/>
      <c r="C111" s="2"/>
      <c r="D111" s="2"/>
      <c r="E111" s="2"/>
      <c r="F111" s="2"/>
      <c r="G111" s="2"/>
      <c r="H111" s="2"/>
      <c r="I111" s="2"/>
      <c r="J111" s="2"/>
      <c r="K111" s="2"/>
    </row>
    <row r="116" spans="13:14" ht="12.75">
      <c r="M116" s="2"/>
      <c r="N116" s="2"/>
    </row>
    <row r="117" spans="12:14" ht="12.75">
      <c r="L117" s="2"/>
      <c r="M117" s="2"/>
      <c r="N117" s="2"/>
    </row>
    <row r="118" spans="1:14" ht="12.75">
      <c r="A118" s="2"/>
      <c r="B118" s="2"/>
      <c r="C118" s="2"/>
      <c r="D118" s="2"/>
      <c r="E118" s="2"/>
      <c r="F118" s="2"/>
      <c r="G118" s="2"/>
      <c r="H118" s="2"/>
      <c r="I118" s="2"/>
      <c r="J118" s="2"/>
      <c r="K118" s="2"/>
      <c r="L118" s="2"/>
      <c r="M118" s="2"/>
      <c r="N118" s="2"/>
    </row>
    <row r="119" spans="1:14" ht="12.75">
      <c r="A119" s="2"/>
      <c r="B119" s="2"/>
      <c r="C119" s="2"/>
      <c r="D119" s="2"/>
      <c r="E119" s="2"/>
      <c r="F119" s="2"/>
      <c r="G119" s="2"/>
      <c r="H119" s="2"/>
      <c r="I119" s="2"/>
      <c r="J119" s="2"/>
      <c r="K119" s="2"/>
      <c r="L119" s="2"/>
      <c r="M119" s="2"/>
      <c r="N119" s="2"/>
    </row>
    <row r="120" spans="1:14" ht="12.75">
      <c r="A120" s="2"/>
      <c r="B120" s="2"/>
      <c r="C120" s="2"/>
      <c r="D120" s="2"/>
      <c r="E120" s="2"/>
      <c r="F120" s="2"/>
      <c r="G120" s="2"/>
      <c r="H120" s="2"/>
      <c r="I120" s="2"/>
      <c r="J120" s="2"/>
      <c r="K120" s="2"/>
      <c r="L120" s="2"/>
      <c r="M120" s="2"/>
      <c r="N120" s="2"/>
    </row>
    <row r="121" spans="1:14" ht="12.75">
      <c r="A121" s="2"/>
      <c r="B121" s="2"/>
      <c r="C121" s="2"/>
      <c r="D121" s="2"/>
      <c r="E121" s="2"/>
      <c r="F121" s="2"/>
      <c r="G121" s="2"/>
      <c r="H121" s="2"/>
      <c r="I121" s="2"/>
      <c r="J121" s="2"/>
      <c r="K121" s="2"/>
      <c r="L121" s="2"/>
      <c r="M121" s="2"/>
      <c r="N121" s="2"/>
    </row>
    <row r="122" spans="1:14" ht="12.75">
      <c r="A122" s="2"/>
      <c r="B122" s="2"/>
      <c r="C122" s="2"/>
      <c r="D122" s="2"/>
      <c r="E122" s="2"/>
      <c r="F122" s="2"/>
      <c r="G122" s="2"/>
      <c r="H122" s="2"/>
      <c r="I122" s="2"/>
      <c r="J122" s="2"/>
      <c r="K122" s="2"/>
      <c r="L122" s="2"/>
      <c r="M122" s="2"/>
      <c r="N122" s="2"/>
    </row>
    <row r="123" spans="1:14" ht="12.75">
      <c r="A123" s="2"/>
      <c r="B123" s="2"/>
      <c r="C123" s="2"/>
      <c r="D123" s="2"/>
      <c r="E123" s="2"/>
      <c r="F123" s="2"/>
      <c r="G123" s="2"/>
      <c r="H123" s="2"/>
      <c r="I123" s="2"/>
      <c r="J123" s="2"/>
      <c r="K123" s="2"/>
      <c r="L123" s="2"/>
      <c r="M123" s="2"/>
      <c r="N123" s="2"/>
    </row>
    <row r="124" spans="1:14" ht="12.75">
      <c r="A124" s="2"/>
      <c r="B124" s="2"/>
      <c r="C124" s="2"/>
      <c r="D124" s="2"/>
      <c r="E124" s="2"/>
      <c r="F124" s="2"/>
      <c r="G124" s="2"/>
      <c r="H124" s="2"/>
      <c r="I124" s="2"/>
      <c r="J124" s="2"/>
      <c r="K124" s="2"/>
      <c r="L124" s="2"/>
      <c r="M124" s="2"/>
      <c r="N124" s="2"/>
    </row>
    <row r="125" spans="1:14" ht="12.75">
      <c r="A125" s="2"/>
      <c r="B125" s="2"/>
      <c r="C125" s="2"/>
      <c r="D125" s="2"/>
      <c r="E125" s="2"/>
      <c r="F125" s="2"/>
      <c r="G125" s="2"/>
      <c r="H125" s="2"/>
      <c r="I125" s="2"/>
      <c r="J125" s="2"/>
      <c r="K125" s="2"/>
      <c r="L125" s="2"/>
      <c r="M125" s="2"/>
      <c r="N125" s="2"/>
    </row>
    <row r="126" spans="1:14" ht="12.75">
      <c r="A126" s="2"/>
      <c r="B126" s="2"/>
      <c r="C126" s="2"/>
      <c r="D126" s="2"/>
      <c r="E126" s="2"/>
      <c r="F126" s="2"/>
      <c r="G126" s="2"/>
      <c r="H126" s="2"/>
      <c r="I126" s="2"/>
      <c r="J126" s="2"/>
      <c r="K126" s="2"/>
      <c r="L126" s="2"/>
      <c r="M126" s="2"/>
      <c r="N126" s="2"/>
    </row>
    <row r="127" spans="1:14" ht="12.75">
      <c r="A127" s="2"/>
      <c r="B127" s="2"/>
      <c r="C127" s="2"/>
      <c r="D127" s="2"/>
      <c r="E127" s="2"/>
      <c r="F127" s="2"/>
      <c r="G127" s="2"/>
      <c r="H127" s="2"/>
      <c r="I127" s="2"/>
      <c r="J127" s="2"/>
      <c r="K127" s="2"/>
      <c r="L127" s="2"/>
      <c r="M127" s="2"/>
      <c r="N127" s="2"/>
    </row>
    <row r="128" spans="1:14" ht="12.75">
      <c r="A128" s="2"/>
      <c r="B128" s="2"/>
      <c r="C128" s="2"/>
      <c r="D128" s="2"/>
      <c r="E128" s="2"/>
      <c r="F128" s="2"/>
      <c r="G128" s="2"/>
      <c r="H128" s="2"/>
      <c r="I128" s="2"/>
      <c r="J128" s="2"/>
      <c r="K128" s="2"/>
      <c r="L128" s="2"/>
      <c r="M128" s="2"/>
      <c r="N128" s="2"/>
    </row>
    <row r="129" spans="1:14" ht="12.75">
      <c r="A129" s="2"/>
      <c r="B129" s="2"/>
      <c r="C129" s="2"/>
      <c r="D129" s="2"/>
      <c r="E129" s="2"/>
      <c r="F129" s="2"/>
      <c r="G129" s="2"/>
      <c r="H129" s="2"/>
      <c r="I129" s="2"/>
      <c r="J129" s="2"/>
      <c r="K129" s="2"/>
      <c r="L129" s="2"/>
      <c r="M129" s="2"/>
      <c r="N129" s="2"/>
    </row>
    <row r="130" spans="1:14" ht="12.75">
      <c r="A130" s="2"/>
      <c r="B130" s="2"/>
      <c r="C130" s="2"/>
      <c r="D130" s="2"/>
      <c r="E130" s="2"/>
      <c r="F130" s="2"/>
      <c r="G130" s="2"/>
      <c r="H130" s="2"/>
      <c r="I130" s="2"/>
      <c r="J130" s="2"/>
      <c r="K130" s="2"/>
      <c r="L130" s="2"/>
      <c r="M130" s="2"/>
      <c r="N130" s="2"/>
    </row>
    <row r="131" spans="1:14" ht="12.75">
      <c r="A131" s="2"/>
      <c r="B131" s="2"/>
      <c r="C131" s="2"/>
      <c r="D131" s="2"/>
      <c r="E131" s="2"/>
      <c r="F131" s="2"/>
      <c r="G131" s="2"/>
      <c r="H131" s="2"/>
      <c r="I131" s="2"/>
      <c r="J131" s="2"/>
      <c r="K131" s="2"/>
      <c r="L131" s="2"/>
      <c r="M131" s="2"/>
      <c r="N131" s="2"/>
    </row>
    <row r="132" spans="1:14" ht="12.75">
      <c r="A132" s="2"/>
      <c r="B132" s="2"/>
      <c r="C132" s="2"/>
      <c r="D132" s="2"/>
      <c r="E132" s="2"/>
      <c r="F132" s="2"/>
      <c r="G132" s="2"/>
      <c r="H132" s="2"/>
      <c r="I132" s="2"/>
      <c r="J132" s="2"/>
      <c r="K132" s="2"/>
      <c r="L132" s="2"/>
      <c r="M132" s="2"/>
      <c r="N132" s="2"/>
    </row>
    <row r="133" spans="1:14" ht="12.75">
      <c r="A133" s="2"/>
      <c r="B133" s="2"/>
      <c r="C133" s="2"/>
      <c r="D133" s="2"/>
      <c r="E133" s="2"/>
      <c r="F133" s="2"/>
      <c r="G133" s="2"/>
      <c r="H133" s="2"/>
      <c r="I133" s="2"/>
      <c r="J133" s="2"/>
      <c r="K133" s="2"/>
      <c r="L133" s="2"/>
      <c r="M133" s="2"/>
      <c r="N133" s="2"/>
    </row>
    <row r="134" spans="1:14" ht="12.75">
      <c r="A134" s="2"/>
      <c r="B134" s="2"/>
      <c r="C134" s="2"/>
      <c r="D134" s="2"/>
      <c r="E134" s="2"/>
      <c r="F134" s="2"/>
      <c r="G134" s="2"/>
      <c r="H134" s="2"/>
      <c r="I134" s="2"/>
      <c r="J134" s="2"/>
      <c r="K134" s="2"/>
      <c r="L134" s="2"/>
      <c r="M134" s="2"/>
      <c r="N134" s="2"/>
    </row>
    <row r="135" spans="1:14" ht="12.75">
      <c r="A135" s="2"/>
      <c r="B135" s="2"/>
      <c r="C135" s="2"/>
      <c r="D135" s="2"/>
      <c r="E135" s="2"/>
      <c r="F135" s="2"/>
      <c r="G135" s="2"/>
      <c r="H135" s="2"/>
      <c r="I135" s="2"/>
      <c r="J135" s="2"/>
      <c r="K135" s="2"/>
      <c r="L135" s="2"/>
      <c r="M135" s="2"/>
      <c r="N135" s="2"/>
    </row>
    <row r="136" spans="1:14" ht="12.75">
      <c r="A136" s="2"/>
      <c r="B136" s="2"/>
      <c r="C136" s="2"/>
      <c r="D136" s="2"/>
      <c r="E136" s="2"/>
      <c r="F136" s="2"/>
      <c r="G136" s="2"/>
      <c r="H136" s="2"/>
      <c r="I136" s="2"/>
      <c r="J136" s="2"/>
      <c r="K136" s="2"/>
      <c r="L136" s="2"/>
      <c r="M136" s="2"/>
      <c r="N136" s="2"/>
    </row>
    <row r="137" spans="1:14" ht="12.75">
      <c r="A137" s="2"/>
      <c r="B137" s="2"/>
      <c r="C137" s="2"/>
      <c r="D137" s="2"/>
      <c r="E137" s="2"/>
      <c r="F137" s="2"/>
      <c r="G137" s="2"/>
      <c r="H137" s="2"/>
      <c r="I137" s="2"/>
      <c r="J137" s="2"/>
      <c r="K137" s="2"/>
      <c r="L137" s="2"/>
      <c r="M137" s="2"/>
      <c r="N137" s="2"/>
    </row>
    <row r="138" spans="1:14" ht="12.75">
      <c r="A138" s="2"/>
      <c r="B138" s="2"/>
      <c r="C138" s="2"/>
      <c r="D138" s="2"/>
      <c r="E138" s="2"/>
      <c r="F138" s="2"/>
      <c r="G138" s="2"/>
      <c r="H138" s="2"/>
      <c r="I138" s="2"/>
      <c r="J138" s="2"/>
      <c r="K138" s="2"/>
      <c r="L138" s="2"/>
      <c r="M138" s="2"/>
      <c r="N138" s="2"/>
    </row>
    <row r="139" spans="1:14" ht="12.75">
      <c r="A139" s="2"/>
      <c r="B139" s="2"/>
      <c r="C139" s="2"/>
      <c r="D139" s="2"/>
      <c r="E139" s="2"/>
      <c r="F139" s="2"/>
      <c r="G139" s="2"/>
      <c r="H139" s="2"/>
      <c r="I139" s="2"/>
      <c r="J139" s="2"/>
      <c r="K139" s="2"/>
      <c r="L139" s="2"/>
      <c r="M139" s="2"/>
      <c r="N139" s="2"/>
    </row>
    <row r="140" spans="1:14" ht="12.75">
      <c r="A140" s="2"/>
      <c r="B140" s="2"/>
      <c r="C140" s="2"/>
      <c r="D140" s="2"/>
      <c r="E140" s="2"/>
      <c r="F140" s="2"/>
      <c r="G140" s="2"/>
      <c r="H140" s="2"/>
      <c r="I140" s="2"/>
      <c r="J140" s="2"/>
      <c r="K140" s="2"/>
      <c r="L140" s="2"/>
      <c r="M140" s="2"/>
      <c r="N140" s="2"/>
    </row>
    <row r="141" spans="1:14" ht="12.75">
      <c r="A141" s="2"/>
      <c r="B141" s="2"/>
      <c r="C141" s="2"/>
      <c r="D141" s="2"/>
      <c r="E141" s="2"/>
      <c r="F141" s="2"/>
      <c r="G141" s="2"/>
      <c r="H141" s="2"/>
      <c r="I141" s="2"/>
      <c r="J141" s="2"/>
      <c r="K141" s="2"/>
      <c r="L141" s="2"/>
      <c r="M141" s="2"/>
      <c r="N141" s="2"/>
    </row>
    <row r="142" spans="1:14" ht="12.75">
      <c r="A142" s="2"/>
      <c r="B142" s="2"/>
      <c r="C142" s="2"/>
      <c r="D142" s="2"/>
      <c r="E142" s="2"/>
      <c r="F142" s="2"/>
      <c r="G142" s="2"/>
      <c r="H142" s="2"/>
      <c r="I142" s="2"/>
      <c r="J142" s="2"/>
      <c r="K142" s="2"/>
      <c r="L142" s="2"/>
      <c r="M142" s="2"/>
      <c r="N142" s="2"/>
    </row>
    <row r="143" spans="1:14" ht="12.75">
      <c r="A143" s="2"/>
      <c r="B143" s="2"/>
      <c r="C143" s="2"/>
      <c r="D143" s="2"/>
      <c r="E143" s="2"/>
      <c r="F143" s="2"/>
      <c r="G143" s="2"/>
      <c r="H143" s="2"/>
      <c r="I143" s="2"/>
      <c r="J143" s="2"/>
      <c r="K143" s="2"/>
      <c r="L143" s="2"/>
      <c r="M143" s="2"/>
      <c r="N143" s="2"/>
    </row>
    <row r="144" spans="1:14" ht="12.75">
      <c r="A144" s="2"/>
      <c r="B144" s="2"/>
      <c r="C144" s="2"/>
      <c r="D144" s="2"/>
      <c r="E144" s="2"/>
      <c r="F144" s="2"/>
      <c r="G144" s="2"/>
      <c r="H144" s="2"/>
      <c r="I144" s="2"/>
      <c r="J144" s="2"/>
      <c r="K144" s="2"/>
      <c r="L144" s="2"/>
      <c r="M144" s="2"/>
      <c r="N144" s="2"/>
    </row>
    <row r="145" spans="1:14" ht="12.75">
      <c r="A145" s="2"/>
      <c r="B145" s="2"/>
      <c r="C145" s="2"/>
      <c r="D145" s="2"/>
      <c r="E145" s="2"/>
      <c r="F145" s="2"/>
      <c r="G145" s="2"/>
      <c r="H145" s="2"/>
      <c r="I145" s="2"/>
      <c r="J145" s="2"/>
      <c r="K145" s="2"/>
      <c r="L145" s="2"/>
      <c r="M145" s="2"/>
      <c r="N145" s="2"/>
    </row>
    <row r="146" spans="1:14" ht="12.75">
      <c r="A146" s="2"/>
      <c r="B146" s="2"/>
      <c r="C146" s="2"/>
      <c r="D146" s="2"/>
      <c r="E146" s="2"/>
      <c r="F146" s="2"/>
      <c r="G146" s="2"/>
      <c r="H146" s="2"/>
      <c r="I146" s="2"/>
      <c r="J146" s="2"/>
      <c r="K146" s="2"/>
      <c r="L146" s="2"/>
      <c r="M146" s="2"/>
      <c r="N146" s="2"/>
    </row>
    <row r="147" spans="1:14" ht="12.75">
      <c r="A147" s="2"/>
      <c r="B147" s="2"/>
      <c r="C147" s="2"/>
      <c r="D147" s="2"/>
      <c r="E147" s="2"/>
      <c r="F147" s="2"/>
      <c r="G147" s="2"/>
      <c r="H147" s="2"/>
      <c r="I147" s="2"/>
      <c r="J147" s="2"/>
      <c r="K147" s="2"/>
      <c r="L147" s="2"/>
      <c r="M147" s="2"/>
      <c r="N147" s="2"/>
    </row>
    <row r="148" spans="1:14" ht="12.75">
      <c r="A148" s="2"/>
      <c r="B148" s="2"/>
      <c r="C148" s="2"/>
      <c r="D148" s="2"/>
      <c r="E148" s="2"/>
      <c r="F148" s="2"/>
      <c r="G148" s="2"/>
      <c r="H148" s="2"/>
      <c r="I148" s="2"/>
      <c r="J148" s="2"/>
      <c r="K148" s="2"/>
      <c r="L148" s="2"/>
      <c r="M148" s="2"/>
      <c r="N148" s="2"/>
    </row>
    <row r="149" spans="1:14" ht="12.75">
      <c r="A149" s="2"/>
      <c r="B149" s="2"/>
      <c r="C149" s="2"/>
      <c r="D149" s="2"/>
      <c r="E149" s="2"/>
      <c r="F149" s="2"/>
      <c r="G149" s="2"/>
      <c r="H149" s="2"/>
      <c r="I149" s="2"/>
      <c r="J149" s="2"/>
      <c r="K149" s="2"/>
      <c r="L149" s="2"/>
      <c r="M149" s="2"/>
      <c r="N149" s="2"/>
    </row>
    <row r="150" spans="1:14" ht="12.75">
      <c r="A150" s="2"/>
      <c r="B150" s="2"/>
      <c r="C150" s="2"/>
      <c r="D150" s="2"/>
      <c r="E150" s="2"/>
      <c r="F150" s="2"/>
      <c r="G150" s="2"/>
      <c r="H150" s="2"/>
      <c r="I150" s="2"/>
      <c r="J150" s="2"/>
      <c r="K150" s="2"/>
      <c r="L150" s="2"/>
      <c r="M150" s="2"/>
      <c r="N150" s="2"/>
    </row>
    <row r="151" spans="1:14" ht="12.75">
      <c r="A151" s="2"/>
      <c r="B151" s="2"/>
      <c r="C151" s="2"/>
      <c r="D151" s="2"/>
      <c r="E151" s="2"/>
      <c r="F151" s="2"/>
      <c r="G151" s="2"/>
      <c r="H151" s="2"/>
      <c r="I151" s="2"/>
      <c r="J151" s="2"/>
      <c r="K151" s="2"/>
      <c r="L151" s="2"/>
      <c r="M151" s="2"/>
      <c r="N151" s="2"/>
    </row>
    <row r="152" spans="1:14" ht="12.75">
      <c r="A152" s="2"/>
      <c r="B152" s="2"/>
      <c r="C152" s="2"/>
      <c r="D152" s="2"/>
      <c r="E152" s="2"/>
      <c r="F152" s="2"/>
      <c r="G152" s="2"/>
      <c r="H152" s="2"/>
      <c r="I152" s="2"/>
      <c r="J152" s="2"/>
      <c r="K152" s="2"/>
      <c r="L152" s="2"/>
      <c r="M152" s="2"/>
      <c r="N152" s="2"/>
    </row>
    <row r="153" spans="1:14" ht="12.75">
      <c r="A153" s="2"/>
      <c r="B153" s="2"/>
      <c r="C153" s="2"/>
      <c r="D153" s="2"/>
      <c r="E153" s="2"/>
      <c r="F153" s="2"/>
      <c r="G153" s="2"/>
      <c r="H153" s="2"/>
      <c r="I153" s="2"/>
      <c r="J153" s="2"/>
      <c r="K153" s="2"/>
      <c r="L153" s="2"/>
      <c r="M153" s="2"/>
      <c r="N153" s="2"/>
    </row>
    <row r="154" spans="1:14" ht="12.75">
      <c r="A154" s="2"/>
      <c r="B154" s="2"/>
      <c r="C154" s="2"/>
      <c r="D154" s="2"/>
      <c r="E154" s="2"/>
      <c r="F154" s="2"/>
      <c r="G154" s="2"/>
      <c r="H154" s="2"/>
      <c r="I154" s="2"/>
      <c r="J154" s="2"/>
      <c r="K154" s="2"/>
      <c r="L154" s="2"/>
      <c r="M154" s="2"/>
      <c r="N154" s="2"/>
    </row>
    <row r="155" spans="1:14" ht="12.75">
      <c r="A155" s="2"/>
      <c r="B155" s="2"/>
      <c r="C155" s="2"/>
      <c r="D155" s="2"/>
      <c r="E155" s="2"/>
      <c r="F155" s="2"/>
      <c r="G155" s="2"/>
      <c r="H155" s="2"/>
      <c r="I155" s="2"/>
      <c r="J155" s="2"/>
      <c r="K155" s="2"/>
      <c r="L155" s="2"/>
      <c r="M155" s="2"/>
      <c r="N155" s="2"/>
    </row>
    <row r="156" spans="1:14" ht="12.75">
      <c r="A156" s="2"/>
      <c r="B156" s="2"/>
      <c r="C156" s="2"/>
      <c r="D156" s="2"/>
      <c r="E156" s="2"/>
      <c r="F156" s="2"/>
      <c r="G156" s="2"/>
      <c r="H156" s="2"/>
      <c r="I156" s="2"/>
      <c r="J156" s="2"/>
      <c r="K156" s="2"/>
      <c r="L156" s="2"/>
      <c r="M156" s="2"/>
      <c r="N156" s="2"/>
    </row>
    <row r="157" spans="1:14" ht="12.75">
      <c r="A157" s="2"/>
      <c r="B157" s="2"/>
      <c r="C157" s="2"/>
      <c r="D157" s="2"/>
      <c r="E157" s="2"/>
      <c r="F157" s="2"/>
      <c r="G157" s="2"/>
      <c r="H157" s="2"/>
      <c r="I157" s="2"/>
      <c r="J157" s="2"/>
      <c r="K157" s="2"/>
      <c r="L157" s="2"/>
      <c r="M157" s="2"/>
      <c r="N157" s="2"/>
    </row>
    <row r="158" spans="1:14" ht="12.75">
      <c r="A158" s="2"/>
      <c r="B158" s="2"/>
      <c r="C158" s="2"/>
      <c r="D158" s="2"/>
      <c r="E158" s="2"/>
      <c r="F158" s="2"/>
      <c r="G158" s="2"/>
      <c r="H158" s="2"/>
      <c r="I158" s="2"/>
      <c r="J158" s="2"/>
      <c r="K158" s="2"/>
      <c r="L158" s="2"/>
      <c r="M158" s="2"/>
      <c r="N158" s="2"/>
    </row>
    <row r="159" spans="1:14" ht="12.75">
      <c r="A159" s="2"/>
      <c r="B159" s="2"/>
      <c r="C159" s="2"/>
      <c r="D159" s="2"/>
      <c r="E159" s="2"/>
      <c r="F159" s="2"/>
      <c r="G159" s="2"/>
      <c r="H159" s="2"/>
      <c r="I159" s="2"/>
      <c r="J159" s="2"/>
      <c r="K159" s="2"/>
      <c r="L159" s="2"/>
      <c r="M159" s="2"/>
      <c r="N159" s="2"/>
    </row>
    <row r="160" spans="1:14" ht="12.75">
      <c r="A160" s="2"/>
      <c r="B160" s="2"/>
      <c r="C160" s="2"/>
      <c r="D160" s="2"/>
      <c r="E160" s="2"/>
      <c r="F160" s="2"/>
      <c r="G160" s="2"/>
      <c r="H160" s="2"/>
      <c r="I160" s="2"/>
      <c r="J160" s="2"/>
      <c r="K160" s="2"/>
      <c r="L160" s="2"/>
      <c r="M160" s="2"/>
      <c r="N160" s="2"/>
    </row>
    <row r="161" spans="1:14" ht="12.75">
      <c r="A161" s="2"/>
      <c r="B161" s="2"/>
      <c r="C161" s="2"/>
      <c r="D161" s="2"/>
      <c r="E161" s="2"/>
      <c r="F161" s="2"/>
      <c r="G161" s="2"/>
      <c r="H161" s="2"/>
      <c r="I161" s="2"/>
      <c r="J161" s="2"/>
      <c r="K161" s="2"/>
      <c r="L161" s="2"/>
      <c r="M161" s="2"/>
      <c r="N161" s="2"/>
    </row>
    <row r="162" spans="1:14" ht="12.75">
      <c r="A162" s="2"/>
      <c r="B162" s="2"/>
      <c r="C162" s="2"/>
      <c r="D162" s="2"/>
      <c r="E162" s="2"/>
      <c r="F162" s="2"/>
      <c r="G162" s="2"/>
      <c r="H162" s="2"/>
      <c r="I162" s="2"/>
      <c r="J162" s="2"/>
      <c r="K162" s="2"/>
      <c r="L162" s="2"/>
      <c r="M162" s="2"/>
      <c r="N162" s="2"/>
    </row>
    <row r="163" spans="1:14" ht="12.75">
      <c r="A163" s="2"/>
      <c r="B163" s="2"/>
      <c r="C163" s="2"/>
      <c r="D163" s="2"/>
      <c r="E163" s="2"/>
      <c r="F163" s="2"/>
      <c r="G163" s="2"/>
      <c r="H163" s="2"/>
      <c r="I163" s="2"/>
      <c r="J163" s="2"/>
      <c r="K163" s="2"/>
      <c r="L163" s="2"/>
      <c r="M163" s="2"/>
      <c r="N163" s="2"/>
    </row>
    <row r="164" spans="1:14" ht="12.75">
      <c r="A164" s="2"/>
      <c r="B164" s="2"/>
      <c r="C164" s="2"/>
      <c r="D164" s="2"/>
      <c r="E164" s="2"/>
      <c r="F164" s="2"/>
      <c r="G164" s="2"/>
      <c r="H164" s="2"/>
      <c r="I164" s="2"/>
      <c r="J164" s="2"/>
      <c r="K164" s="2"/>
      <c r="L164" s="2"/>
      <c r="M164" s="2"/>
      <c r="N164" s="2"/>
    </row>
    <row r="165" spans="1:14" ht="12.75">
      <c r="A165" s="2"/>
      <c r="B165" s="2"/>
      <c r="C165" s="2"/>
      <c r="D165" s="2"/>
      <c r="E165" s="2"/>
      <c r="F165" s="2"/>
      <c r="G165" s="2"/>
      <c r="H165" s="2"/>
      <c r="I165" s="2"/>
      <c r="J165" s="2"/>
      <c r="K165" s="2"/>
      <c r="L165" s="2"/>
      <c r="M165" s="2"/>
      <c r="N165" s="2"/>
    </row>
    <row r="166" spans="1:14" ht="12.75">
      <c r="A166" s="2"/>
      <c r="B166" s="2"/>
      <c r="C166" s="2"/>
      <c r="D166" s="2"/>
      <c r="E166" s="2"/>
      <c r="F166" s="2"/>
      <c r="G166" s="2"/>
      <c r="H166" s="2"/>
      <c r="I166" s="2"/>
      <c r="J166" s="2"/>
      <c r="K166" s="2"/>
      <c r="L166" s="2"/>
      <c r="M166" s="2"/>
      <c r="N166" s="2"/>
    </row>
    <row r="167" spans="1:14" ht="12.75">
      <c r="A167" s="2"/>
      <c r="B167" s="2"/>
      <c r="C167" s="2"/>
      <c r="D167" s="2"/>
      <c r="E167" s="2"/>
      <c r="F167" s="2"/>
      <c r="G167" s="2"/>
      <c r="H167" s="2"/>
      <c r="I167" s="2"/>
      <c r="J167" s="2"/>
      <c r="K167" s="2"/>
      <c r="L167" s="2"/>
      <c r="M167" s="2"/>
      <c r="N167" s="2"/>
    </row>
    <row r="168" spans="1:14" ht="12.75">
      <c r="A168" s="2"/>
      <c r="B168" s="2"/>
      <c r="C168" s="2"/>
      <c r="D168" s="2"/>
      <c r="E168" s="2"/>
      <c r="F168" s="2"/>
      <c r="G168" s="2"/>
      <c r="H168" s="2"/>
      <c r="I168" s="2"/>
      <c r="J168" s="2"/>
      <c r="K168" s="2"/>
      <c r="L168" s="2"/>
      <c r="M168" s="2"/>
      <c r="N168" s="2"/>
    </row>
    <row r="169" spans="1:14" ht="12.75">
      <c r="A169" s="2"/>
      <c r="B169" s="2"/>
      <c r="C169" s="2"/>
      <c r="D169" s="2"/>
      <c r="E169" s="2"/>
      <c r="F169" s="2"/>
      <c r="G169" s="2"/>
      <c r="H169" s="2"/>
      <c r="I169" s="2"/>
      <c r="J169" s="2"/>
      <c r="K169" s="2"/>
      <c r="L169" s="2"/>
      <c r="M169" s="2"/>
      <c r="N169" s="2"/>
    </row>
    <row r="170" spans="1:14" ht="12.75">
      <c r="A170" s="2"/>
      <c r="B170" s="2"/>
      <c r="C170" s="2"/>
      <c r="D170" s="2"/>
      <c r="E170" s="2"/>
      <c r="F170" s="2"/>
      <c r="G170" s="2"/>
      <c r="H170" s="2"/>
      <c r="I170" s="2"/>
      <c r="J170" s="2"/>
      <c r="K170" s="2"/>
      <c r="L170" s="2"/>
      <c r="M170" s="2"/>
      <c r="N170" s="2"/>
    </row>
    <row r="171" spans="1:14" ht="12.75">
      <c r="A171" s="2"/>
      <c r="B171" s="2"/>
      <c r="C171" s="2"/>
      <c r="D171" s="2"/>
      <c r="E171" s="2"/>
      <c r="F171" s="2"/>
      <c r="G171" s="2"/>
      <c r="H171" s="2"/>
      <c r="I171" s="2"/>
      <c r="J171" s="2"/>
      <c r="K171" s="2"/>
      <c r="L171" s="2"/>
      <c r="M171" s="2"/>
      <c r="N171" s="2"/>
    </row>
    <row r="172" spans="1:14" ht="12.75">
      <c r="A172" s="2"/>
      <c r="B172" s="2"/>
      <c r="C172" s="2"/>
      <c r="D172" s="2"/>
      <c r="E172" s="2"/>
      <c r="F172" s="2"/>
      <c r="G172" s="2"/>
      <c r="H172" s="2"/>
      <c r="I172" s="2"/>
      <c r="J172" s="2"/>
      <c r="K172" s="2"/>
      <c r="L172" s="2"/>
      <c r="M172" s="2"/>
      <c r="N172" s="2"/>
    </row>
    <row r="173" spans="1:14" ht="12.75">
      <c r="A173" s="2"/>
      <c r="B173" s="2"/>
      <c r="C173" s="2"/>
      <c r="D173" s="2"/>
      <c r="E173" s="2"/>
      <c r="F173" s="2"/>
      <c r="G173" s="2"/>
      <c r="H173" s="2"/>
      <c r="I173" s="2"/>
      <c r="J173" s="2"/>
      <c r="K173" s="2"/>
      <c r="L173" s="2"/>
      <c r="M173" s="2"/>
      <c r="N173" s="2"/>
    </row>
    <row r="174" spans="1:12" ht="12.75">
      <c r="A174" s="2"/>
      <c r="B174" s="2"/>
      <c r="C174" s="2"/>
      <c r="D174" s="2"/>
      <c r="E174" s="2"/>
      <c r="F174" s="2"/>
      <c r="G174" s="2"/>
      <c r="H174" s="2"/>
      <c r="I174" s="2"/>
      <c r="J174" s="2"/>
      <c r="K174" s="2"/>
      <c r="L174" s="2"/>
    </row>
    <row r="175" spans="1:11" ht="12.75">
      <c r="A175" s="2"/>
      <c r="B175" s="2"/>
      <c r="C175" s="2"/>
      <c r="D175" s="2"/>
      <c r="E175" s="2"/>
      <c r="F175" s="2"/>
      <c r="G175" s="2"/>
      <c r="H175" s="2"/>
      <c r="I175" s="2"/>
      <c r="J175" s="2"/>
      <c r="K175" s="2"/>
    </row>
    <row r="176" spans="1:2" ht="12.75">
      <c r="A176" s="2"/>
      <c r="B176" s="2"/>
    </row>
  </sheetData>
  <sheetProtection password="D307" sheet="1" objects="1" scenarios="1"/>
  <mergeCells count="36">
    <mergeCell ref="A38:B38"/>
    <mergeCell ref="A39:B39"/>
    <mergeCell ref="A33:B33"/>
    <mergeCell ref="A34:B34"/>
    <mergeCell ref="A35:B35"/>
    <mergeCell ref="A37:B37"/>
    <mergeCell ref="A36:B36"/>
    <mergeCell ref="J19:O19"/>
    <mergeCell ref="C19:H19"/>
    <mergeCell ref="H4:K4"/>
    <mergeCell ref="R45:T45"/>
    <mergeCell ref="R28:T28"/>
    <mergeCell ref="R44:T44"/>
    <mergeCell ref="L20:M20"/>
    <mergeCell ref="N28:O28"/>
    <mergeCell ref="K28:M28"/>
    <mergeCell ref="K27:M27"/>
    <mergeCell ref="A21:B21"/>
    <mergeCell ref="G6:G8"/>
    <mergeCell ref="F28:H28"/>
    <mergeCell ref="C20:E20"/>
    <mergeCell ref="F20:H20"/>
    <mergeCell ref="A31:B31"/>
    <mergeCell ref="A32:B32"/>
    <mergeCell ref="F27:H27"/>
    <mergeCell ref="A30:B30"/>
    <mergeCell ref="R27:T27"/>
    <mergeCell ref="M2:N2"/>
    <mergeCell ref="N27:O27"/>
    <mergeCell ref="B1:J1"/>
    <mergeCell ref="Q7:S7"/>
    <mergeCell ref="C3:F3"/>
    <mergeCell ref="C4:E4"/>
    <mergeCell ref="M3:N3"/>
    <mergeCell ref="J6:O6"/>
    <mergeCell ref="M4:N4"/>
  </mergeCells>
  <dataValidations count="3">
    <dataValidation type="list" allowBlank="1" showInputMessage="1" showErrorMessage="1" sqref="L20:M20">
      <formula1>$Y$3:$Y$18</formula1>
    </dataValidation>
    <dataValidation type="list" allowBlank="1" showInputMessage="1" showErrorMessage="1" sqref="A9:A16">
      <formula1>$V$4:$V$23</formula1>
    </dataValidation>
    <dataValidation type="list" allowBlank="1" showInputMessage="1" showErrorMessage="1" sqref="A31:B39">
      <formula1>$AC$3:$AC$36</formula1>
    </dataValidation>
  </dataValidations>
  <printOptions horizontalCentered="1" verticalCentered="1"/>
  <pageMargins left="0.5" right="0.5" top="0.5" bottom="0.5" header="0.5" footer="0.5"/>
  <pageSetup fitToHeight="1" fitToWidth="1" orientation="portrait" scale="73" r:id="rId3"/>
  <headerFooter alignWithMargins="0">
    <oddHeader>&amp;C&amp;"Times New Roman,Bold"&amp;16USDA NATURAL RESOURCES CONSERVATION SERVICE</oddHeader>
  </headerFooter>
  <ignoredErrors>
    <ignoredError sqref="M3" unlockedFormula="1"/>
  </ignoredErrors>
  <legacyDrawing r:id="rId2"/>
</worksheet>
</file>

<file path=xl/worksheets/sheet10.xml><?xml version="1.0" encoding="utf-8"?>
<worksheet xmlns="http://schemas.openxmlformats.org/spreadsheetml/2006/main" xmlns:r="http://schemas.openxmlformats.org/officeDocument/2006/relationships">
  <dimension ref="A1:E31"/>
  <sheetViews>
    <sheetView zoomScale="75" zoomScaleNormal="75" workbookViewId="0" topLeftCell="A1">
      <selection activeCell="A5" sqref="A5"/>
    </sheetView>
  </sheetViews>
  <sheetFormatPr defaultColWidth="9.140625" defaultRowHeight="12.75"/>
  <cols>
    <col min="1" max="5" width="11.7109375" style="0" customWidth="1"/>
  </cols>
  <sheetData>
    <row r="1" spans="1:5" ht="15.75">
      <c r="A1" s="319" t="s">
        <v>264</v>
      </c>
      <c r="B1" s="319"/>
      <c r="C1" s="319"/>
      <c r="D1" s="319"/>
      <c r="E1" s="319"/>
    </row>
    <row r="2" spans="1:5" ht="12.75">
      <c r="A2" s="320"/>
      <c r="B2" s="320"/>
      <c r="C2" s="320"/>
      <c r="D2" s="320"/>
      <c r="E2" s="320"/>
    </row>
    <row r="3" spans="1:5" ht="15.75">
      <c r="A3" s="321" t="s">
        <v>265</v>
      </c>
      <c r="B3" s="322"/>
      <c r="C3" s="323" t="s">
        <v>266</v>
      </c>
      <c r="D3" s="321" t="s">
        <v>267</v>
      </c>
      <c r="E3" s="322"/>
    </row>
    <row r="4" spans="1:5" ht="12.75">
      <c r="A4" s="324"/>
      <c r="B4" s="325"/>
      <c r="C4" s="326"/>
      <c r="D4" s="324"/>
      <c r="E4" s="325"/>
    </row>
    <row r="5" spans="1:5" ht="15.75">
      <c r="A5" s="381">
        <v>1</v>
      </c>
      <c r="B5" s="328" t="s">
        <v>268</v>
      </c>
      <c r="C5" s="327">
        <v>12</v>
      </c>
      <c r="D5" s="379">
        <f aca="true" t="shared" si="0" ref="D5:D31">A5*C5</f>
        <v>12</v>
      </c>
      <c r="E5" s="328" t="s">
        <v>269</v>
      </c>
    </row>
    <row r="6" spans="1:5" ht="15.75">
      <c r="A6" s="381">
        <v>1</v>
      </c>
      <c r="B6" s="328" t="s">
        <v>269</v>
      </c>
      <c r="C6" s="327">
        <v>3630</v>
      </c>
      <c r="D6" s="380">
        <f t="shared" si="0"/>
        <v>3630</v>
      </c>
      <c r="E6" s="328" t="s">
        <v>270</v>
      </c>
    </row>
    <row r="7" spans="1:5" ht="15.75">
      <c r="A7" s="381">
        <v>1</v>
      </c>
      <c r="B7" s="328" t="s">
        <v>269</v>
      </c>
      <c r="C7" s="330">
        <v>27150</v>
      </c>
      <c r="D7" s="380">
        <f t="shared" si="0"/>
        <v>27150</v>
      </c>
      <c r="E7" s="328" t="s">
        <v>271</v>
      </c>
    </row>
    <row r="8" spans="1:5" ht="15.75">
      <c r="A8" s="381">
        <v>1</v>
      </c>
      <c r="B8" s="328" t="s">
        <v>272</v>
      </c>
      <c r="C8" s="329">
        <v>43560</v>
      </c>
      <c r="D8" s="380">
        <f t="shared" si="0"/>
        <v>43560</v>
      </c>
      <c r="E8" s="328" t="s">
        <v>273</v>
      </c>
    </row>
    <row r="9" spans="1:5" ht="15.75">
      <c r="A9" s="381">
        <v>1</v>
      </c>
      <c r="B9" s="328" t="s">
        <v>274</v>
      </c>
      <c r="C9" s="329">
        <v>1.24</v>
      </c>
      <c r="D9" s="379">
        <f t="shared" si="0"/>
        <v>1.24</v>
      </c>
      <c r="E9" s="328" t="s">
        <v>270</v>
      </c>
    </row>
    <row r="10" spans="1:5" ht="15.75">
      <c r="A10" s="381">
        <v>1</v>
      </c>
      <c r="B10" s="328" t="s">
        <v>274</v>
      </c>
      <c r="C10" s="329">
        <v>0.046</v>
      </c>
      <c r="D10" s="379">
        <f t="shared" si="0"/>
        <v>0.046</v>
      </c>
      <c r="E10" s="328" t="s">
        <v>275</v>
      </c>
    </row>
    <row r="11" spans="1:5" ht="15.75">
      <c r="A11" s="381">
        <v>1</v>
      </c>
      <c r="B11" s="328" t="s">
        <v>274</v>
      </c>
      <c r="C11" s="329">
        <v>8</v>
      </c>
      <c r="D11" s="379">
        <f t="shared" si="0"/>
        <v>8</v>
      </c>
      <c r="E11" s="328" t="s">
        <v>271</v>
      </c>
    </row>
    <row r="12" spans="1:5" ht="15.75">
      <c r="A12" s="381">
        <v>1</v>
      </c>
      <c r="B12" s="328" t="s">
        <v>276</v>
      </c>
      <c r="C12" s="329">
        <v>448.8</v>
      </c>
      <c r="D12" s="380">
        <f t="shared" si="0"/>
        <v>448.8</v>
      </c>
      <c r="E12" s="328" t="s">
        <v>277</v>
      </c>
    </row>
    <row r="13" spans="1:5" ht="15.75">
      <c r="A13" s="381">
        <v>1</v>
      </c>
      <c r="B13" s="328" t="s">
        <v>278</v>
      </c>
      <c r="C13" s="329">
        <v>2.296</v>
      </c>
      <c r="D13" s="379">
        <f t="shared" si="0"/>
        <v>2.296</v>
      </c>
      <c r="E13" s="328" t="s">
        <v>268</v>
      </c>
    </row>
    <row r="14" spans="1:5" ht="15.75">
      <c r="A14" s="381">
        <v>1</v>
      </c>
      <c r="B14" s="328" t="s">
        <v>270</v>
      </c>
      <c r="C14" s="329">
        <v>7.48</v>
      </c>
      <c r="D14" s="379">
        <f t="shared" si="0"/>
        <v>7.48</v>
      </c>
      <c r="E14" s="328" t="s">
        <v>271</v>
      </c>
    </row>
    <row r="15" spans="1:5" ht="15.75">
      <c r="A15" s="381">
        <v>1</v>
      </c>
      <c r="B15" s="328" t="s">
        <v>279</v>
      </c>
      <c r="C15" s="329">
        <v>62.4</v>
      </c>
      <c r="D15" s="379">
        <f t="shared" si="0"/>
        <v>62.4</v>
      </c>
      <c r="E15" s="328" t="s">
        <v>280</v>
      </c>
    </row>
    <row r="16" spans="1:5" ht="15.75">
      <c r="A16" s="381">
        <v>1</v>
      </c>
      <c r="B16" s="328" t="s">
        <v>279</v>
      </c>
      <c r="C16" s="329">
        <v>0.03</v>
      </c>
      <c r="D16" s="379">
        <f t="shared" si="0"/>
        <v>0.03</v>
      </c>
      <c r="E16" s="328" t="s">
        <v>281</v>
      </c>
    </row>
    <row r="17" spans="1:5" ht="15.75">
      <c r="A17" s="381">
        <v>1</v>
      </c>
      <c r="B17" s="328" t="s">
        <v>271</v>
      </c>
      <c r="C17" s="329">
        <v>0.134</v>
      </c>
      <c r="D17" s="379">
        <f t="shared" si="0"/>
        <v>0.134</v>
      </c>
      <c r="E17" s="328" t="s">
        <v>270</v>
      </c>
    </row>
    <row r="18" spans="1:5" ht="15.75">
      <c r="A18" s="381">
        <v>7</v>
      </c>
      <c r="B18" s="328" t="s">
        <v>271</v>
      </c>
      <c r="C18" s="329">
        <v>8.33</v>
      </c>
      <c r="D18" s="379">
        <f t="shared" si="0"/>
        <v>58.31</v>
      </c>
      <c r="E18" s="328" t="s">
        <v>282</v>
      </c>
    </row>
    <row r="19" spans="1:5" ht="15.75">
      <c r="A19" s="381">
        <v>448</v>
      </c>
      <c r="B19" s="328" t="s">
        <v>277</v>
      </c>
      <c r="C19" s="329">
        <v>0.00223</v>
      </c>
      <c r="D19" s="379">
        <f t="shared" si="0"/>
        <v>0.9990400000000002</v>
      </c>
      <c r="E19" s="328" t="s">
        <v>276</v>
      </c>
    </row>
    <row r="20" spans="1:5" ht="15.75">
      <c r="A20" s="381">
        <v>1</v>
      </c>
      <c r="B20" s="328" t="s">
        <v>283</v>
      </c>
      <c r="C20" s="329">
        <v>1.205</v>
      </c>
      <c r="D20" s="379">
        <f t="shared" si="0"/>
        <v>1.205</v>
      </c>
      <c r="E20" s="328" t="s">
        <v>284</v>
      </c>
    </row>
    <row r="21" spans="1:5" ht="15.75">
      <c r="A21" s="381">
        <v>1</v>
      </c>
      <c r="B21" s="328" t="s">
        <v>284</v>
      </c>
      <c r="C21" s="329">
        <v>0.83</v>
      </c>
      <c r="D21" s="379">
        <f t="shared" si="0"/>
        <v>0.83</v>
      </c>
      <c r="E21" s="328" t="s">
        <v>285</v>
      </c>
    </row>
    <row r="22" spans="1:5" ht="15.75">
      <c r="A22" s="381">
        <v>1</v>
      </c>
      <c r="B22" s="328" t="s">
        <v>286</v>
      </c>
      <c r="C22" s="329">
        <v>1.47</v>
      </c>
      <c r="D22" s="379">
        <f t="shared" si="0"/>
        <v>1.47</v>
      </c>
      <c r="E22" s="328" t="s">
        <v>287</v>
      </c>
    </row>
    <row r="23" spans="1:5" ht="18.75">
      <c r="A23" s="381">
        <v>1</v>
      </c>
      <c r="B23" s="328" t="s">
        <v>288</v>
      </c>
      <c r="C23" s="329">
        <v>0.824</v>
      </c>
      <c r="D23" s="379">
        <f t="shared" si="0"/>
        <v>0.824</v>
      </c>
      <c r="E23" s="328" t="s">
        <v>289</v>
      </c>
    </row>
    <row r="24" spans="1:5" ht="18.75">
      <c r="A24" s="381">
        <v>1</v>
      </c>
      <c r="B24" s="328" t="s">
        <v>290</v>
      </c>
      <c r="C24" s="329">
        <v>0.778</v>
      </c>
      <c r="D24" s="379">
        <f t="shared" si="0"/>
        <v>0.778</v>
      </c>
      <c r="E24" s="328" t="s">
        <v>289</v>
      </c>
    </row>
    <row r="25" spans="1:5" ht="18.75">
      <c r="A25" s="381">
        <v>1</v>
      </c>
      <c r="B25" s="328" t="s">
        <v>291</v>
      </c>
      <c r="C25" s="329">
        <v>0.226</v>
      </c>
      <c r="D25" s="379">
        <f t="shared" si="0"/>
        <v>0.226</v>
      </c>
      <c r="E25" s="328" t="s">
        <v>289</v>
      </c>
    </row>
    <row r="26" spans="1:5" ht="15.75">
      <c r="A26" s="381">
        <v>1</v>
      </c>
      <c r="B26" s="328" t="s">
        <v>292</v>
      </c>
      <c r="C26" s="329">
        <v>2.288</v>
      </c>
      <c r="D26" s="379">
        <f t="shared" si="0"/>
        <v>2.288</v>
      </c>
      <c r="E26" s="328" t="s">
        <v>293</v>
      </c>
    </row>
    <row r="27" spans="1:5" ht="15.75">
      <c r="A27" s="381">
        <v>1</v>
      </c>
      <c r="B27" s="328" t="s">
        <v>293</v>
      </c>
      <c r="C27" s="329">
        <v>0.437</v>
      </c>
      <c r="D27" s="379">
        <f t="shared" si="0"/>
        <v>0.437</v>
      </c>
      <c r="E27" s="328" t="s">
        <v>294</v>
      </c>
    </row>
    <row r="28" spans="1:5" ht="15.75">
      <c r="A28" s="381">
        <v>1</v>
      </c>
      <c r="B28" s="328" t="s">
        <v>295</v>
      </c>
      <c r="C28" s="329">
        <v>0.2268</v>
      </c>
      <c r="D28" s="379">
        <f t="shared" si="0"/>
        <v>0.2268</v>
      </c>
      <c r="E28" s="328" t="s">
        <v>296</v>
      </c>
    </row>
    <row r="29" spans="1:5" ht="15.75">
      <c r="A29" s="381">
        <v>1</v>
      </c>
      <c r="B29" s="328" t="s">
        <v>295</v>
      </c>
      <c r="C29" s="329">
        <v>1</v>
      </c>
      <c r="D29" s="379">
        <f t="shared" si="0"/>
        <v>1</v>
      </c>
      <c r="E29" s="328" t="s">
        <v>297</v>
      </c>
    </row>
    <row r="30" spans="1:5" ht="15.75">
      <c r="A30" s="382">
        <v>1</v>
      </c>
      <c r="B30" s="328" t="s">
        <v>281</v>
      </c>
      <c r="C30" s="329">
        <v>33</v>
      </c>
      <c r="D30" s="380">
        <f t="shared" si="0"/>
        <v>33</v>
      </c>
      <c r="E30" s="328" t="s">
        <v>270</v>
      </c>
    </row>
    <row r="31" spans="1:5" ht="15.75">
      <c r="A31" s="382">
        <v>1</v>
      </c>
      <c r="B31" s="328" t="s">
        <v>281</v>
      </c>
      <c r="C31" s="329">
        <v>250</v>
      </c>
      <c r="D31" s="380">
        <f t="shared" si="0"/>
        <v>250</v>
      </c>
      <c r="E31" s="328" t="s">
        <v>271</v>
      </c>
    </row>
  </sheetData>
  <sheetProtection password="CF03" sheet="1" objects="1" scenarios="1"/>
  <printOptions horizontalCentered="1"/>
  <pageMargins left="0.75" right="0.75" top="1" bottom="1" header="0.5" footer="0.5"/>
  <pageSetup horizontalDpi="600" verticalDpi="600" orientation="portrait" r:id="rId1"/>
  <headerFooter alignWithMargins="0">
    <oddHeader>&amp;C&amp;"Times New Roman,Bold"&amp;12USDA NATURAL RESOURCES CONSERVATION SERVICE</oddHeader>
  </headerFooter>
</worksheet>
</file>

<file path=xl/worksheets/sheet2.xml><?xml version="1.0" encoding="utf-8"?>
<worksheet xmlns="http://schemas.openxmlformats.org/spreadsheetml/2006/main" xmlns:r="http://schemas.openxmlformats.org/officeDocument/2006/relationships">
  <dimension ref="A1:V48"/>
  <sheetViews>
    <sheetView showGridLines="0" showZeros="0" zoomScale="75" zoomScaleNormal="75" workbookViewId="0" topLeftCell="A1">
      <selection activeCell="B19" sqref="B19"/>
    </sheetView>
  </sheetViews>
  <sheetFormatPr defaultColWidth="9.140625" defaultRowHeight="12.75"/>
  <cols>
    <col min="1" max="1" width="12.7109375" style="2" customWidth="1"/>
    <col min="2" max="13" width="8.8515625" style="2" customWidth="1"/>
    <col min="14" max="16384" width="9.140625" style="2" customWidth="1"/>
  </cols>
  <sheetData>
    <row r="1" spans="1:21" ht="18.75">
      <c r="A1" s="117" t="s">
        <v>239</v>
      </c>
      <c r="B1" s="114"/>
      <c r="C1" s="66"/>
      <c r="D1" s="66"/>
      <c r="E1" s="66"/>
      <c r="F1" s="66"/>
      <c r="G1" s="66"/>
      <c r="H1" s="66"/>
      <c r="I1" s="66"/>
      <c r="J1" s="66"/>
      <c r="K1" s="66"/>
      <c r="L1" s="7"/>
      <c r="M1" s="7"/>
      <c r="N1" s="118"/>
      <c r="O1" s="9"/>
      <c r="U1" s="662" t="s">
        <v>469</v>
      </c>
    </row>
    <row r="2" spans="2:14" ht="15.75">
      <c r="B2" s="5"/>
      <c r="C2" s="22"/>
      <c r="D2" s="22"/>
      <c r="E2" s="5"/>
      <c r="I2" s="70"/>
      <c r="J2" s="70"/>
      <c r="K2" s="5"/>
      <c r="L2" s="5"/>
      <c r="M2" s="5"/>
      <c r="N2" s="33"/>
    </row>
    <row r="3" spans="12:22" ht="15.75">
      <c r="L3" s="5"/>
      <c r="M3" s="5"/>
      <c r="N3" s="33"/>
      <c r="U3" s="618">
        <v>0</v>
      </c>
      <c r="V3" s="624">
        <v>0</v>
      </c>
    </row>
    <row r="4" spans="1:22" ht="15.75">
      <c r="A4" s="37" t="s">
        <v>12</v>
      </c>
      <c r="B4" s="38" t="s">
        <v>240</v>
      </c>
      <c r="C4" s="38"/>
      <c r="D4" s="38"/>
      <c r="E4" s="43"/>
      <c r="F4" s="5"/>
      <c r="G4" s="36" t="s">
        <v>217</v>
      </c>
      <c r="H4" s="764" t="str">
        <f>'Man. Bal.'!C3</f>
        <v>Utah Dairy Farmer</v>
      </c>
      <c r="I4" s="764"/>
      <c r="J4" s="764"/>
      <c r="K4" s="5"/>
      <c r="L4" s="5"/>
      <c r="M4" s="5"/>
      <c r="N4" s="33"/>
      <c r="U4" s="509" t="s">
        <v>31</v>
      </c>
      <c r="V4" s="620"/>
    </row>
    <row r="5" spans="1:22" ht="15.75">
      <c r="A5" s="42" t="s">
        <v>15</v>
      </c>
      <c r="B5" s="37" t="s">
        <v>16</v>
      </c>
      <c r="C5" s="37" t="s">
        <v>40</v>
      </c>
      <c r="D5" s="37" t="s">
        <v>41</v>
      </c>
      <c r="E5" s="45" t="s">
        <v>241</v>
      </c>
      <c r="F5" s="5"/>
      <c r="G5" s="36" t="s">
        <v>218</v>
      </c>
      <c r="H5" s="763">
        <f>'Man. Bal.'!M3</f>
        <v>38737</v>
      </c>
      <c r="I5" s="763"/>
      <c r="J5" s="5"/>
      <c r="K5" s="5"/>
      <c r="L5" s="5"/>
      <c r="M5" s="5"/>
      <c r="N5" s="33"/>
      <c r="U5" s="618" t="s">
        <v>472</v>
      </c>
      <c r="V5" s="619"/>
    </row>
    <row r="6" spans="1:22" ht="15.75">
      <c r="A6" s="48" t="s">
        <v>20</v>
      </c>
      <c r="B6" s="48" t="s">
        <v>25</v>
      </c>
      <c r="C6" s="48" t="s">
        <v>25</v>
      </c>
      <c r="D6" s="48" t="s">
        <v>25</v>
      </c>
      <c r="E6" s="49"/>
      <c r="F6" s="5"/>
      <c r="G6" s="565" t="s">
        <v>401</v>
      </c>
      <c r="H6" s="763" t="str">
        <f>'Man. Bal.'!M2</f>
        <v>Manure3.1e.xls</v>
      </c>
      <c r="I6" s="763"/>
      <c r="J6" s="5"/>
      <c r="K6" s="5"/>
      <c r="L6" s="5"/>
      <c r="M6" s="5"/>
      <c r="N6" s="33"/>
      <c r="U6" s="618" t="s">
        <v>32</v>
      </c>
      <c r="V6" s="619"/>
    </row>
    <row r="7" spans="1:22" ht="15.75">
      <c r="A7" s="119" t="str">
        <f>'Man. Bal.'!A9</f>
        <v>Dairy (Lact)</v>
      </c>
      <c r="B7" s="120">
        <f>'Man. Bal.'!B9</f>
        <v>0.45</v>
      </c>
      <c r="C7" s="120">
        <f>'Man. Bal.'!C9</f>
        <v>0.16</v>
      </c>
      <c r="D7" s="120">
        <f>'Man. Bal.'!D9</f>
        <v>0.31</v>
      </c>
      <c r="E7" s="121">
        <f>'Man. Bal.'!G9</f>
        <v>1.4</v>
      </c>
      <c r="F7" s="5"/>
      <c r="G7" s="564" t="s">
        <v>219</v>
      </c>
      <c r="H7" s="764" t="str">
        <f>'Man. Bal.'!M4</f>
        <v>kig</v>
      </c>
      <c r="I7" s="764"/>
      <c r="J7" s="5"/>
      <c r="K7" s="5"/>
      <c r="L7" s="5"/>
      <c r="M7" s="5"/>
      <c r="N7" s="5"/>
      <c r="U7" s="618" t="s">
        <v>29</v>
      </c>
      <c r="V7" s="619"/>
    </row>
    <row r="8" spans="1:22" ht="15.75">
      <c r="A8" s="122" t="str">
        <f>'Man. Bal.'!A10</f>
        <v>Dairy (Dry)</v>
      </c>
      <c r="B8" s="123">
        <f>'Man. Bal.'!B10</f>
        <v>0.36</v>
      </c>
      <c r="C8" s="123">
        <f>'Man. Bal.'!C10</f>
        <v>0.11</v>
      </c>
      <c r="D8" s="123">
        <f>'Man. Bal.'!D10</f>
        <v>0.28</v>
      </c>
      <c r="E8" s="124">
        <f>'Man. Bal.'!G10</f>
        <v>1.4</v>
      </c>
      <c r="F8" s="5"/>
      <c r="G8" s="5"/>
      <c r="H8" s="5"/>
      <c r="I8" s="5"/>
      <c r="J8" s="5"/>
      <c r="K8" s="5"/>
      <c r="L8" s="5"/>
      <c r="M8" s="5"/>
      <c r="N8" s="5"/>
      <c r="U8" s="618" t="s">
        <v>28</v>
      </c>
      <c r="V8" s="619"/>
    </row>
    <row r="9" spans="1:22" ht="15.75">
      <c r="A9" s="122" t="str">
        <f>'Man. Bal.'!A11</f>
        <v>Heifers</v>
      </c>
      <c r="B9" s="123">
        <f>'Man. Bal.'!B11</f>
        <v>0.31</v>
      </c>
      <c r="C9" s="123">
        <f>'Man. Bal.'!C11</f>
        <v>0.09</v>
      </c>
      <c r="D9" s="123">
        <f>'Man. Bal.'!D11</f>
        <v>0.29</v>
      </c>
      <c r="E9" s="124">
        <f>'Man. Bal.'!G11</f>
        <v>0.6</v>
      </c>
      <c r="F9" s="5"/>
      <c r="G9" s="5"/>
      <c r="H9" s="5"/>
      <c r="I9" s="5"/>
      <c r="J9" s="5"/>
      <c r="K9" s="5"/>
      <c r="L9" s="5"/>
      <c r="M9" s="5"/>
      <c r="N9" s="5"/>
      <c r="O9" s="8"/>
      <c r="U9" s="618" t="s">
        <v>92</v>
      </c>
      <c r="V9" s="619"/>
    </row>
    <row r="10" spans="1:22" ht="15.75">
      <c r="A10" s="122">
        <f>'Man. Bal.'!A12</f>
        <v>0</v>
      </c>
      <c r="B10" s="123">
        <f>'Man. Bal.'!B12</f>
        <v>0</v>
      </c>
      <c r="C10" s="123">
        <f>'Man. Bal.'!C12</f>
        <v>0</v>
      </c>
      <c r="D10" s="123">
        <f>'Man. Bal.'!D12</f>
        <v>0</v>
      </c>
      <c r="E10" s="124">
        <f>'Man. Bal.'!G12</f>
        <v>0</v>
      </c>
      <c r="F10" s="5"/>
      <c r="G10" s="5"/>
      <c r="H10" s="5"/>
      <c r="I10" s="5"/>
      <c r="J10" s="5"/>
      <c r="K10" s="5"/>
      <c r="L10" s="5"/>
      <c r="M10" s="5"/>
      <c r="N10" s="5"/>
      <c r="U10" s="618" t="s">
        <v>93</v>
      </c>
      <c r="V10" s="619"/>
    </row>
    <row r="11" spans="1:22" ht="15.75">
      <c r="A11" s="122">
        <f>'Man. Bal.'!A13</f>
        <v>0</v>
      </c>
      <c r="B11" s="123">
        <f>'Man. Bal.'!B13</f>
        <v>0</v>
      </c>
      <c r="C11" s="123">
        <f>'Man. Bal.'!C13</f>
        <v>0</v>
      </c>
      <c r="D11" s="123">
        <f>'Man. Bal.'!D13</f>
        <v>0</v>
      </c>
      <c r="E11" s="124">
        <f>'Man. Bal.'!G13</f>
        <v>0</v>
      </c>
      <c r="F11" s="5"/>
      <c r="G11" s="5"/>
      <c r="H11" s="5"/>
      <c r="I11" s="5"/>
      <c r="J11" s="5"/>
      <c r="K11" s="5"/>
      <c r="L11" s="5"/>
      <c r="M11" s="5"/>
      <c r="N11" s="5"/>
      <c r="U11" s="618" t="s">
        <v>30</v>
      </c>
      <c r="V11" s="619"/>
    </row>
    <row r="12" spans="1:22" ht="15.75">
      <c r="A12" s="122">
        <f>'Man. Bal.'!A14</f>
        <v>0</v>
      </c>
      <c r="B12" s="125">
        <f>'Man. Bal.'!B14</f>
        <v>0</v>
      </c>
      <c r="C12" s="125">
        <f>'Man. Bal.'!C14</f>
        <v>0</v>
      </c>
      <c r="D12" s="125">
        <f>'Man. Bal.'!D14</f>
        <v>0</v>
      </c>
      <c r="E12" s="126">
        <f>'Man. Bal.'!G14</f>
        <v>0</v>
      </c>
      <c r="F12" s="5"/>
      <c r="G12" s="5"/>
      <c r="H12" s="5"/>
      <c r="I12" s="5"/>
      <c r="J12" s="5"/>
      <c r="K12" s="5"/>
      <c r="L12" s="5"/>
      <c r="M12" s="5"/>
      <c r="N12" s="5"/>
      <c r="U12" s="618" t="s">
        <v>33</v>
      </c>
      <c r="V12" s="619"/>
    </row>
    <row r="13" spans="1:22" ht="15.75">
      <c r="A13" s="122">
        <f>'Man. Bal.'!A15</f>
        <v>0</v>
      </c>
      <c r="B13" s="123">
        <f>'Man. Bal.'!B15</f>
        <v>0</v>
      </c>
      <c r="C13" s="123">
        <f>'Man. Bal.'!C15</f>
        <v>0</v>
      </c>
      <c r="D13" s="123">
        <f>'Man. Bal.'!D15</f>
        <v>0</v>
      </c>
      <c r="E13" s="124">
        <f>'Man. Bal.'!G15</f>
        <v>0</v>
      </c>
      <c r="F13" s="5"/>
      <c r="G13" s="5"/>
      <c r="H13" s="5"/>
      <c r="I13" s="5"/>
      <c r="J13" s="5"/>
      <c r="K13" s="5"/>
      <c r="L13" s="5"/>
      <c r="M13" s="5"/>
      <c r="N13" s="5"/>
      <c r="U13" s="618" t="s">
        <v>94</v>
      </c>
      <c r="V13" s="619"/>
    </row>
    <row r="14" spans="1:22" ht="15.75">
      <c r="A14" s="127">
        <f>'Man. Bal.'!A16</f>
        <v>0</v>
      </c>
      <c r="B14" s="128">
        <f>'Man. Bal.'!B16</f>
        <v>0</v>
      </c>
      <c r="C14" s="128">
        <f>'Man. Bal.'!C16</f>
        <v>0</v>
      </c>
      <c r="D14" s="128">
        <f>'Man. Bal.'!D16</f>
        <v>0</v>
      </c>
      <c r="E14" s="129">
        <f>'Man. Bal.'!G16</f>
        <v>0</v>
      </c>
      <c r="F14" s="5"/>
      <c r="G14" s="5"/>
      <c r="H14" s="5"/>
      <c r="I14" s="5"/>
      <c r="J14" s="5"/>
      <c r="K14" s="5"/>
      <c r="L14" s="5"/>
      <c r="M14" s="5"/>
      <c r="N14" s="5"/>
      <c r="U14" s="618" t="s">
        <v>95</v>
      </c>
      <c r="V14" s="619"/>
    </row>
    <row r="15" spans="1:22" ht="15.75">
      <c r="A15" s="130">
        <v>0</v>
      </c>
      <c r="B15" s="5"/>
      <c r="C15" s="5"/>
      <c r="D15" s="5"/>
      <c r="E15" s="5"/>
      <c r="F15" s="5"/>
      <c r="G15" s="5"/>
      <c r="H15" s="5"/>
      <c r="I15" s="5"/>
      <c r="J15" s="5"/>
      <c r="K15" s="5"/>
      <c r="L15" s="5"/>
      <c r="M15" s="5"/>
      <c r="N15" s="5"/>
      <c r="U15" s="618" t="s">
        <v>96</v>
      </c>
      <c r="V15" s="619"/>
    </row>
    <row r="16" spans="1:22" ht="15.75">
      <c r="A16" s="37" t="s">
        <v>242</v>
      </c>
      <c r="B16" s="37" t="s">
        <v>20</v>
      </c>
      <c r="C16" s="37" t="s">
        <v>21</v>
      </c>
      <c r="D16" s="37" t="s">
        <v>243</v>
      </c>
      <c r="E16" s="131" t="s">
        <v>244</v>
      </c>
      <c r="F16" s="132"/>
      <c r="G16" s="38" t="s">
        <v>245</v>
      </c>
      <c r="H16" s="39"/>
      <c r="I16" s="41"/>
      <c r="J16" s="22"/>
      <c r="K16" s="133"/>
      <c r="L16" s="5"/>
      <c r="M16" s="5"/>
      <c r="N16" s="5"/>
      <c r="U16" s="618" t="s">
        <v>97</v>
      </c>
      <c r="V16" s="619"/>
    </row>
    <row r="17" spans="1:22" ht="15.75">
      <c r="A17" s="42" t="s">
        <v>246</v>
      </c>
      <c r="B17" s="42" t="s">
        <v>247</v>
      </c>
      <c r="C17" s="42" t="s">
        <v>248</v>
      </c>
      <c r="D17" s="42" t="s">
        <v>249</v>
      </c>
      <c r="E17" s="134"/>
      <c r="F17" s="46"/>
      <c r="G17" s="4" t="s">
        <v>250</v>
      </c>
      <c r="H17" s="66"/>
      <c r="I17" s="46"/>
      <c r="J17" s="6"/>
      <c r="K17" s="133"/>
      <c r="L17" s="5"/>
      <c r="M17" s="5"/>
      <c r="N17" s="5"/>
      <c r="U17" s="618" t="s">
        <v>98</v>
      </c>
      <c r="V17" s="619"/>
    </row>
    <row r="18" spans="1:22" ht="15.75">
      <c r="A18" s="48" t="s">
        <v>251</v>
      </c>
      <c r="B18" s="134"/>
      <c r="C18" s="48" t="s">
        <v>252</v>
      </c>
      <c r="D18" s="48" t="s">
        <v>23</v>
      </c>
      <c r="E18" s="51" t="s">
        <v>54</v>
      </c>
      <c r="F18" s="52" t="s">
        <v>62</v>
      </c>
      <c r="G18" s="53" t="s">
        <v>16</v>
      </c>
      <c r="H18" s="53" t="s">
        <v>40</v>
      </c>
      <c r="I18" s="52" t="s">
        <v>41</v>
      </c>
      <c r="J18" s="6"/>
      <c r="K18" s="133"/>
      <c r="L18" s="138"/>
      <c r="M18" s="5"/>
      <c r="N18" s="5"/>
      <c r="U18" s="618" t="s">
        <v>99</v>
      </c>
      <c r="V18" s="619"/>
    </row>
    <row r="19" spans="1:22" ht="15.75">
      <c r="A19" s="135" t="s">
        <v>30</v>
      </c>
      <c r="B19" s="136">
        <v>75</v>
      </c>
      <c r="C19" s="137">
        <f>VLOOKUP('Graz. Nut.'!A19,'Graz. Nut.'!$A$7:'Graz. Nut.'!$E$15,5,FALSE)</f>
        <v>0.6</v>
      </c>
      <c r="D19" s="136">
        <v>185</v>
      </c>
      <c r="E19" s="147" t="str">
        <f>'Man. Bal.'!C30</f>
        <v>1,2,4,6</v>
      </c>
      <c r="F19" s="148">
        <f>'Man. Bal.'!D30</f>
        <v>34</v>
      </c>
      <c r="G19" s="149">
        <f>VLOOKUP('Graz. Nut.'!$A19,'Graz. Nut.'!$A$7:$E$15,2,FALSE)*('Graz. Nut.'!$B19*'Graz. Nut.'!$C19*'Graz. Nut.'!$D19)*('Man. Bal.'!C$22*'Man. Bal.'!C$23*'Man. Bal.'!C$24*'Man. Bal.'!C$25)</f>
        <v>1178.98983</v>
      </c>
      <c r="H19" s="149">
        <f>VLOOKUP('Graz. Nut.'!$A19,'Graz. Nut.'!$A$7:$E$15,3,FALSE)*('Graz. Nut.'!$B19*'Graz. Nut.'!$C19*'Graz. Nut.'!$D19)*('Man. Bal.'!D$22*'Man. Bal.'!D$23*'Man. Bal.'!D$24*'Man. Bal.'!D$25)</f>
        <v>591.9075</v>
      </c>
      <c r="I19" s="150">
        <f>VLOOKUP('Graz. Nut.'!$A19,'Graz. Nut.'!$A$7:$E$15,4,FALSE)*('Graz. Nut.'!$B19*'Graz. Nut.'!$C19*'Graz. Nut.'!$D19)*('Man. Bal.'!E$22*'Man. Bal.'!E$23*'Man. Bal.'!E$24*'Man. Bal.'!E$25)</f>
        <v>2003.8274999999999</v>
      </c>
      <c r="J19" s="6"/>
      <c r="K19" s="133"/>
      <c r="L19" s="33"/>
      <c r="M19" s="5"/>
      <c r="N19" s="5"/>
      <c r="U19" s="618" t="s">
        <v>100</v>
      </c>
      <c r="V19" s="619"/>
    </row>
    <row r="20" spans="1:22" ht="15.75">
      <c r="A20" s="139" t="s">
        <v>30</v>
      </c>
      <c r="B20" s="140">
        <v>35</v>
      </c>
      <c r="C20" s="141">
        <f>VLOOKUP('Graz. Nut.'!A20,'Graz. Nut.'!$A$7:'Graz. Nut.'!$E$15,5,FALSE)</f>
        <v>0.6</v>
      </c>
      <c r="D20" s="140">
        <v>185</v>
      </c>
      <c r="E20" s="151" t="str">
        <f>'Man. Bal.'!C31</f>
        <v>3</v>
      </c>
      <c r="F20" s="148">
        <f>'Man. Bal.'!D31</f>
        <v>5</v>
      </c>
      <c r="G20" s="152">
        <f>VLOOKUP('Graz. Nut.'!$A20,'Graz. Nut.'!$A$7:$E$15,2,FALSE)*('Graz. Nut.'!$B20*'Graz. Nut.'!$C20*'Graz. Nut.'!$D20)*('Man. Bal.'!C$22*'Man. Bal.'!C$23*'Man. Bal.'!C$24*'Man. Bal.'!C$25)</f>
        <v>550.195254</v>
      </c>
      <c r="H20" s="152">
        <f>VLOOKUP('Graz. Nut.'!$A20,'Graz. Nut.'!$A$7:$E$15,3,FALSE)*('Graz. Nut.'!$B20*'Graz. Nut.'!$C20*'Graz. Nut.'!$D20)*('Man. Bal.'!D$22*'Man. Bal.'!D$23*'Man. Bal.'!D$24*'Man. Bal.'!D$25)</f>
        <v>276.2235</v>
      </c>
      <c r="I20" s="153">
        <f>VLOOKUP('Graz. Nut.'!$A20,'Graz. Nut.'!$A$7:$E$15,4,FALSE)*('Graz. Nut.'!$B20*'Graz. Nut.'!$C20*'Graz. Nut.'!$D20)*('Man. Bal.'!E$22*'Man. Bal.'!E$23*'Man. Bal.'!E$24*'Man. Bal.'!E$25)</f>
        <v>935.1194999999998</v>
      </c>
      <c r="J20" s="6"/>
      <c r="K20" s="133"/>
      <c r="L20" s="33"/>
      <c r="M20" s="5"/>
      <c r="N20" s="33"/>
      <c r="U20" s="618" t="s">
        <v>101</v>
      </c>
      <c r="V20" s="619"/>
    </row>
    <row r="21" spans="1:22" ht="15.75">
      <c r="A21" s="139"/>
      <c r="B21" s="140"/>
      <c r="C21" s="141">
        <f>VLOOKUP('Graz. Nut.'!A21,'Graz. Nut.'!$A$7:'Graz. Nut.'!$E$15,5,FALSE)</f>
        <v>0</v>
      </c>
      <c r="D21" s="140"/>
      <c r="E21" s="151" t="str">
        <f>'Man. Bal.'!C32</f>
        <v>9-15</v>
      </c>
      <c r="F21" s="148">
        <f>'Man. Bal.'!D32</f>
        <v>30</v>
      </c>
      <c r="G21" s="152">
        <f>VLOOKUP('Graz. Nut.'!$A21,'Graz. Nut.'!$A$7:$E$15,2,FALSE)*('Graz. Nut.'!$B21*'Graz. Nut.'!$C21*'Graz. Nut.'!$D21)*('Man. Bal.'!C$22*'Man. Bal.'!C$23*'Man. Bal.'!C$24*'Man. Bal.'!C$25)</f>
        <v>0</v>
      </c>
      <c r="H21" s="152">
        <f>VLOOKUP('Graz. Nut.'!$A21,'Graz. Nut.'!$A$7:$E$15,3,FALSE)*('Graz. Nut.'!$B21*'Graz. Nut.'!$C21*'Graz. Nut.'!$D21)*('Man. Bal.'!D$22*'Man. Bal.'!D$23*'Man. Bal.'!D$24*'Man. Bal.'!D$25)</f>
        <v>0</v>
      </c>
      <c r="I21" s="153">
        <f>VLOOKUP('Graz. Nut.'!$A21,'Graz. Nut.'!$A$7:$E$15,4,FALSE)*('Graz. Nut.'!$B21*'Graz. Nut.'!$C21*'Graz. Nut.'!$D21)*('Man. Bal.'!E$22*'Man. Bal.'!E$23*'Man. Bal.'!E$24*'Man. Bal.'!E$25)</f>
        <v>0</v>
      </c>
      <c r="J21" s="6"/>
      <c r="K21" s="133"/>
      <c r="L21" s="33"/>
      <c r="M21" s="5"/>
      <c r="N21" s="33"/>
      <c r="U21" s="618" t="s">
        <v>102</v>
      </c>
      <c r="V21" s="619"/>
    </row>
    <row r="22" spans="1:22" ht="15.75">
      <c r="A22" s="139"/>
      <c r="B22" s="140"/>
      <c r="C22" s="141">
        <f>VLOOKUP('Graz. Nut.'!A22,'Graz. Nut.'!$A$7:'Graz. Nut.'!$E$15,5,FALSE)</f>
        <v>0</v>
      </c>
      <c r="D22" s="140"/>
      <c r="E22" s="151" t="str">
        <f>'Man. Bal.'!C33</f>
        <v>5,7,8</v>
      </c>
      <c r="F22" s="148">
        <f>'Man. Bal.'!D33</f>
        <v>80</v>
      </c>
      <c r="G22" s="152">
        <f>VLOOKUP('Graz. Nut.'!$A22,'Graz. Nut.'!$A$7:$E$15,2,FALSE)*('Graz. Nut.'!$B22*'Graz. Nut.'!$C22*'Graz. Nut.'!$D22)*('Man. Bal.'!C$22*'Man. Bal.'!C$23*'Man. Bal.'!C$24*'Man. Bal.'!C$25)</f>
        <v>0</v>
      </c>
      <c r="H22" s="152">
        <f>VLOOKUP('Graz. Nut.'!$A22,'Graz. Nut.'!$A$7:$E$15,3,FALSE)*('Graz. Nut.'!$B22*'Graz. Nut.'!$C22*'Graz. Nut.'!$D22)*('Man. Bal.'!D$22*'Man. Bal.'!D$23*'Man. Bal.'!D$24*'Man. Bal.'!D$25)</f>
        <v>0</v>
      </c>
      <c r="I22" s="153">
        <f>VLOOKUP('Graz. Nut.'!$A22,'Graz. Nut.'!$A$7:$E$15,4,FALSE)*('Graz. Nut.'!$B22*'Graz. Nut.'!$C22*'Graz. Nut.'!$D22)*('Man. Bal.'!E$22*'Man. Bal.'!E$23*'Man. Bal.'!E$24*'Man. Bal.'!E$25)</f>
        <v>0</v>
      </c>
      <c r="J22" s="6"/>
      <c r="K22" s="133"/>
      <c r="L22" s="33"/>
      <c r="M22" s="5"/>
      <c r="N22" s="33"/>
      <c r="U22" s="618" t="s">
        <v>103</v>
      </c>
      <c r="V22" s="619"/>
    </row>
    <row r="23" spans="1:14" ht="15.75">
      <c r="A23" s="139">
        <v>0</v>
      </c>
      <c r="B23" s="140">
        <v>0</v>
      </c>
      <c r="C23" s="141">
        <f>VLOOKUP('Graz. Nut.'!A23,'Graz. Nut.'!$A$7:'Graz. Nut.'!$E$15,5,FALSE)</f>
        <v>0</v>
      </c>
      <c r="D23" s="140">
        <v>0</v>
      </c>
      <c r="E23" s="151">
        <f>'Man. Bal.'!C34</f>
        <v>0</v>
      </c>
      <c r="F23" s="148">
        <f>'Man. Bal.'!D34</f>
        <v>0</v>
      </c>
      <c r="G23" s="152">
        <f>VLOOKUP('Graz. Nut.'!$A23,'Graz. Nut.'!$A$7:$E$15,2,FALSE)*('Graz. Nut.'!$B23*'Graz. Nut.'!$C23*'Graz. Nut.'!$D23)*('Man. Bal.'!C$22*'Man. Bal.'!C$23*'Man. Bal.'!C$24*'Man. Bal.'!C$25)</f>
        <v>0</v>
      </c>
      <c r="H23" s="152">
        <f>VLOOKUP('Graz. Nut.'!$A23,'Graz. Nut.'!$A$7:$E$15,3,FALSE)*('Graz. Nut.'!$B23*'Graz. Nut.'!$C23*'Graz. Nut.'!$D23)*('Man. Bal.'!D$22*'Man. Bal.'!D$23*'Man. Bal.'!D$24*'Man. Bal.'!D$25)</f>
        <v>0</v>
      </c>
      <c r="I23" s="153">
        <f>VLOOKUP('Graz. Nut.'!$A23,'Graz. Nut.'!$A$7:$E$15,4,FALSE)*('Graz. Nut.'!$B23*'Graz. Nut.'!$C23*'Graz. Nut.'!$D23)*('Man. Bal.'!E$22*'Man. Bal.'!E$23*'Man. Bal.'!E$24*'Man. Bal.'!E$25)</f>
        <v>0</v>
      </c>
      <c r="J23" s="6"/>
      <c r="K23" s="133"/>
      <c r="L23" s="33"/>
      <c r="M23" s="5"/>
      <c r="N23" s="33"/>
    </row>
    <row r="24" spans="1:14" ht="15.75">
      <c r="A24" s="139">
        <v>0</v>
      </c>
      <c r="B24" s="140">
        <v>0</v>
      </c>
      <c r="C24" s="141">
        <f>VLOOKUP('Graz. Nut.'!A24,'Graz. Nut.'!$A$7:'Graz. Nut.'!$E$15,5,FALSE)</f>
        <v>0</v>
      </c>
      <c r="D24" s="140">
        <v>0</v>
      </c>
      <c r="E24" s="151">
        <f>'Man. Bal.'!C35</f>
        <v>0</v>
      </c>
      <c r="F24" s="148">
        <f>'Man. Bal.'!D35</f>
        <v>0</v>
      </c>
      <c r="G24" s="152">
        <f>VLOOKUP('Graz. Nut.'!$A24,'Graz. Nut.'!$A$7:$E$15,2,FALSE)*('Graz. Nut.'!$B24*'Graz. Nut.'!$C24*'Graz. Nut.'!$D24)*('Man. Bal.'!C$22*'Man. Bal.'!C$23*'Man. Bal.'!C$24*'Man. Bal.'!C$25)</f>
        <v>0</v>
      </c>
      <c r="H24" s="152">
        <f>VLOOKUP('Graz. Nut.'!$A24,'Graz. Nut.'!$A$7:$E$15,3,FALSE)*('Graz. Nut.'!$B24*'Graz. Nut.'!$C24*'Graz. Nut.'!$D24)*('Man. Bal.'!D$22*'Man. Bal.'!D$23*'Man. Bal.'!D$24*'Man. Bal.'!D$25)</f>
        <v>0</v>
      </c>
      <c r="I24" s="153">
        <f>VLOOKUP('Graz. Nut.'!$A24,'Graz. Nut.'!$A$7:$E$15,4,FALSE)*('Graz. Nut.'!$B24*'Graz. Nut.'!$C24*'Graz. Nut.'!$D24)*('Man. Bal.'!E$22*'Man. Bal.'!E$23*'Man. Bal.'!E$24*'Man. Bal.'!E$25)</f>
        <v>0</v>
      </c>
      <c r="J24" s="6"/>
      <c r="K24" s="133"/>
      <c r="L24" s="33"/>
      <c r="M24" s="5"/>
      <c r="N24" s="33"/>
    </row>
    <row r="25" spans="1:14" ht="15.75">
      <c r="A25" s="139">
        <v>0</v>
      </c>
      <c r="B25" s="140">
        <v>0</v>
      </c>
      <c r="C25" s="141">
        <f>VLOOKUP('Graz. Nut.'!A25,'Graz. Nut.'!$A$7:'Graz. Nut.'!$E$15,5,FALSE)</f>
        <v>0</v>
      </c>
      <c r="D25" s="140">
        <v>0</v>
      </c>
      <c r="E25" s="151">
        <f>'Man. Bal.'!C36</f>
        <v>0</v>
      </c>
      <c r="F25" s="148">
        <f>'Man. Bal.'!D36</f>
        <v>0</v>
      </c>
      <c r="G25" s="152">
        <f>VLOOKUP('Graz. Nut.'!$A25,'Graz. Nut.'!$A$7:$E$15,2,FALSE)*('Graz. Nut.'!$B25*'Graz. Nut.'!$C25*'Graz. Nut.'!$D25)*('Man. Bal.'!C$22*'Man. Bal.'!C$23*'Man. Bal.'!C$24*'Man. Bal.'!C$25)</f>
        <v>0</v>
      </c>
      <c r="H25" s="152">
        <f>VLOOKUP('Graz. Nut.'!$A25,'Graz. Nut.'!$A$7:$E$15,3,FALSE)*('Graz. Nut.'!$B25*'Graz. Nut.'!$C25*'Graz. Nut.'!$D25)*('Man. Bal.'!D$22*'Man. Bal.'!D$23*'Man. Bal.'!D$24*'Man. Bal.'!D$25)</f>
        <v>0</v>
      </c>
      <c r="I25" s="153">
        <f>VLOOKUP('Graz. Nut.'!$A25,'Graz. Nut.'!$A$7:$E$15,4,FALSE)*('Graz. Nut.'!$B25*'Graz. Nut.'!$C25*'Graz. Nut.'!$D25)*('Man. Bal.'!E$22*'Man. Bal.'!E$23*'Man. Bal.'!E$24*'Man. Bal.'!E$25)</f>
        <v>0</v>
      </c>
      <c r="J25" s="142"/>
      <c r="K25" s="133"/>
      <c r="L25" s="33"/>
      <c r="M25" s="5"/>
      <c r="N25" s="33"/>
    </row>
    <row r="26" spans="1:14" ht="15.75">
      <c r="A26" s="139">
        <v>0</v>
      </c>
      <c r="B26" s="140">
        <v>0</v>
      </c>
      <c r="C26" s="141">
        <f>VLOOKUP('Graz. Nut.'!A26,'Graz. Nut.'!$A$7:'Graz. Nut.'!$E$15,5,FALSE)</f>
        <v>0</v>
      </c>
      <c r="D26" s="140">
        <v>0</v>
      </c>
      <c r="E26" s="151" t="str">
        <f>'Man. Bal.'!C37</f>
        <v> </v>
      </c>
      <c r="F26" s="148">
        <f>'Man. Bal.'!D37</f>
        <v>0</v>
      </c>
      <c r="G26" s="152">
        <f>VLOOKUP('Graz. Nut.'!$A26,'Graz. Nut.'!$A$7:$E$15,2,FALSE)*('Graz. Nut.'!$B26*'Graz. Nut.'!$C26*'Graz. Nut.'!$D26)*('Man. Bal.'!C$22*'Man. Bal.'!C$23*'Man. Bal.'!C$24*'Man. Bal.'!C$25)</f>
        <v>0</v>
      </c>
      <c r="H26" s="152">
        <f>VLOOKUP('Graz. Nut.'!$A26,'Graz. Nut.'!$A$7:$E$15,3,FALSE)*('Graz. Nut.'!$B26*'Graz. Nut.'!$C26*'Graz. Nut.'!$D26)*('Man. Bal.'!D$22*'Man. Bal.'!D$23*'Man. Bal.'!D$24*'Man. Bal.'!D$25)</f>
        <v>0</v>
      </c>
      <c r="I26" s="153">
        <f>VLOOKUP('Graz. Nut.'!$A26,'Graz. Nut.'!$A$7:$E$15,4,FALSE)*('Graz. Nut.'!$B26*'Graz. Nut.'!$C26*'Graz. Nut.'!$D26)*('Man. Bal.'!E$22*'Man. Bal.'!E$23*'Man. Bal.'!E$24*'Man. Bal.'!E$25)</f>
        <v>0</v>
      </c>
      <c r="J26" s="6"/>
      <c r="K26" s="133"/>
      <c r="L26" s="33"/>
      <c r="M26" s="5"/>
      <c r="N26" s="33"/>
    </row>
    <row r="27" spans="1:14" ht="15.75">
      <c r="A27" s="139">
        <v>0</v>
      </c>
      <c r="B27" s="140">
        <v>0</v>
      </c>
      <c r="C27" s="141">
        <f>VLOOKUP('Graz. Nut.'!A27,'Graz. Nut.'!$A$7:'Graz. Nut.'!$E$15,5,FALSE)</f>
        <v>0</v>
      </c>
      <c r="D27" s="140">
        <v>0</v>
      </c>
      <c r="E27" s="151" t="str">
        <f>'Man. Bal.'!C38</f>
        <v> </v>
      </c>
      <c r="F27" s="148">
        <f>'Man. Bal.'!D38</f>
        <v>0</v>
      </c>
      <c r="G27" s="152">
        <f>VLOOKUP('Graz. Nut.'!$A27,'Graz. Nut.'!$A$7:$E$15,2,FALSE)*('Graz. Nut.'!$B27*'Graz. Nut.'!$C27*'Graz. Nut.'!$D27)*('Man. Bal.'!C$22*'Man. Bal.'!C$23*'Man. Bal.'!C$24*'Man. Bal.'!C$25)</f>
        <v>0</v>
      </c>
      <c r="H27" s="152">
        <f>VLOOKUP('Graz. Nut.'!$A27,'Graz. Nut.'!$A$7:$E$15,3,FALSE)*('Graz. Nut.'!$B27*'Graz. Nut.'!$C27*'Graz. Nut.'!$D27)*('Man. Bal.'!D$22*'Man. Bal.'!D$23*'Man. Bal.'!D$24*'Man. Bal.'!D$25)</f>
        <v>0</v>
      </c>
      <c r="I27" s="153">
        <f>VLOOKUP('Graz. Nut.'!$A27,'Graz. Nut.'!$A$7:$E$15,4,FALSE)*('Graz. Nut.'!$B27*'Graz. Nut.'!$C27*'Graz. Nut.'!$D27)*('Man. Bal.'!E$22*'Man. Bal.'!E$23*'Man. Bal.'!E$24*'Man. Bal.'!E$25)</f>
        <v>0</v>
      </c>
      <c r="J27" s="6"/>
      <c r="K27" s="133"/>
      <c r="L27" s="33"/>
      <c r="M27" s="5"/>
      <c r="N27" s="33"/>
    </row>
    <row r="28" spans="1:14" ht="15.75">
      <c r="A28" s="143">
        <v>0</v>
      </c>
      <c r="B28" s="144">
        <v>0</v>
      </c>
      <c r="C28" s="145">
        <f>VLOOKUP('Graz. Nut.'!A28,'Graz. Nut.'!$A$7:'Graz. Nut.'!$E$15,5,FALSE)</f>
        <v>0</v>
      </c>
      <c r="D28" s="144">
        <v>0</v>
      </c>
      <c r="E28" s="154" t="str">
        <f>'Man. Bal.'!C39</f>
        <v> </v>
      </c>
      <c r="F28" s="155">
        <f>'Man. Bal.'!D39</f>
        <v>0</v>
      </c>
      <c r="G28" s="156">
        <f>VLOOKUP('Graz. Nut.'!$A28,'Graz. Nut.'!$A$7:$E$15,2,FALSE)*('Graz. Nut.'!$B28*'Graz. Nut.'!$C28*'Graz. Nut.'!$D28)*('Man. Bal.'!C$22*'Man. Bal.'!C$23*'Man. Bal.'!C$24*'Man. Bal.'!C$25)</f>
        <v>0</v>
      </c>
      <c r="H28" s="156">
        <f>VLOOKUP('Graz. Nut.'!$A28,'Graz. Nut.'!$A$7:$E$15,3,FALSE)*('Graz. Nut.'!$B28*'Graz. Nut.'!$C28*'Graz. Nut.'!$D28)*('Man. Bal.'!D$22*'Man. Bal.'!D$23*'Man. Bal.'!D$24*'Man. Bal.'!D$25)</f>
        <v>0</v>
      </c>
      <c r="I28" s="157">
        <f>VLOOKUP('Graz. Nut.'!$A28,'Graz. Nut.'!$A$7:$E$15,4,FALSE)*('Graz. Nut.'!$B28*'Graz. Nut.'!$C28*'Graz. Nut.'!$D28)*('Man. Bal.'!E$22*'Man. Bal.'!E$23*'Man. Bal.'!E$24*'Man. Bal.'!E$25)</f>
        <v>0</v>
      </c>
      <c r="J28" s="6"/>
      <c r="K28" s="133"/>
      <c r="L28" s="5"/>
      <c r="M28" s="5"/>
      <c r="N28" s="33"/>
    </row>
    <row r="29" spans="1:14" ht="15.75">
      <c r="A29" s="158" t="s">
        <v>253</v>
      </c>
      <c r="B29" s="158"/>
      <c r="C29" s="158"/>
      <c r="D29" s="158"/>
      <c r="E29" s="158"/>
      <c r="F29" s="158"/>
      <c r="G29" s="158"/>
      <c r="H29" s="158"/>
      <c r="I29" s="158"/>
      <c r="J29" s="158"/>
      <c r="K29" s="113"/>
      <c r="L29" s="5"/>
      <c r="M29" s="5"/>
      <c r="N29" s="33"/>
    </row>
    <row r="30" spans="1:14" ht="15.75">
      <c r="A30" s="69"/>
      <c r="B30" s="70"/>
      <c r="C30" s="70"/>
      <c r="D30" s="70"/>
      <c r="E30" s="70"/>
      <c r="F30" s="70"/>
      <c r="G30" s="70"/>
      <c r="H30" s="70"/>
      <c r="I30" s="70"/>
      <c r="J30" s="70"/>
      <c r="K30" s="70"/>
      <c r="L30" s="5"/>
      <c r="M30" s="5"/>
      <c r="N30" s="33"/>
    </row>
    <row r="31" spans="1:14" ht="15.75">
      <c r="A31" s="159" t="s">
        <v>244</v>
      </c>
      <c r="B31" s="160"/>
      <c r="C31" s="159" t="s">
        <v>254</v>
      </c>
      <c r="D31" s="161"/>
      <c r="E31" s="162"/>
      <c r="F31" s="159" t="s">
        <v>255</v>
      </c>
      <c r="G31" s="161"/>
      <c r="H31" s="162"/>
      <c r="I31" s="161" t="s">
        <v>256</v>
      </c>
      <c r="J31" s="161"/>
      <c r="K31" s="162"/>
      <c r="L31" s="5"/>
      <c r="M31" s="5"/>
      <c r="N31" s="33"/>
    </row>
    <row r="32" spans="1:14" ht="15.75">
      <c r="A32" s="163"/>
      <c r="B32" s="85"/>
      <c r="C32" s="164" t="s">
        <v>257</v>
      </c>
      <c r="D32" s="165"/>
      <c r="E32" s="166"/>
      <c r="F32" s="164" t="s">
        <v>258</v>
      </c>
      <c r="G32" s="165"/>
      <c r="H32" s="166"/>
      <c r="I32" s="85" t="s">
        <v>259</v>
      </c>
      <c r="J32" s="85"/>
      <c r="K32" s="167"/>
      <c r="L32" s="5"/>
      <c r="M32" s="5"/>
      <c r="N32" s="33"/>
    </row>
    <row r="33" spans="1:14" ht="15.75">
      <c r="A33" s="71" t="s">
        <v>54</v>
      </c>
      <c r="B33" s="168" t="s">
        <v>62</v>
      </c>
      <c r="C33" s="71" t="s">
        <v>16</v>
      </c>
      <c r="D33" s="168" t="s">
        <v>40</v>
      </c>
      <c r="E33" s="168" t="s">
        <v>41</v>
      </c>
      <c r="F33" s="71" t="s">
        <v>16</v>
      </c>
      <c r="G33" s="168" t="s">
        <v>40</v>
      </c>
      <c r="H33" s="168" t="s">
        <v>41</v>
      </c>
      <c r="I33" s="71" t="s">
        <v>16</v>
      </c>
      <c r="J33" s="168" t="s">
        <v>40</v>
      </c>
      <c r="K33" s="169" t="s">
        <v>41</v>
      </c>
      <c r="L33" s="5"/>
      <c r="M33" s="5"/>
      <c r="N33" s="33"/>
    </row>
    <row r="34" spans="1:14" ht="15.75">
      <c r="A34" s="170" t="str">
        <f>'Man. Bal.'!$C30</f>
        <v>1,2,4,6</v>
      </c>
      <c r="B34" s="171">
        <f>'Man. Bal.'!$D30</f>
        <v>34</v>
      </c>
      <c r="C34" s="172">
        <f>IF('Graz. Nut.'!$B34&gt;0,IF(('Man. Bal.'!K30/'Graz. Nut.'!$B34)-('Graz. Nut.'!G19/'Graz. Nut.'!$F19)&gt;0,('Man. Bal.'!K30/'Graz. Nut.'!$B34)-('Graz. Nut.'!G19/'Graz. Nut.'!$F19),0),0)</f>
        <v>0</v>
      </c>
      <c r="D34" s="172">
        <f>IF('Graz. Nut.'!$B34&gt;0,IF(('Man. Bal.'!L30/'Graz. Nut.'!$B34)-('Graz. Nut.'!H19/'Graz. Nut.'!$F19)&gt;0,('Man. Bal.'!L30/'Graz. Nut.'!$B34)-('Graz. Nut.'!H19/'Graz. Nut.'!$F19),0),0)</f>
        <v>62.390955882352955</v>
      </c>
      <c r="E34" s="173">
        <f>IF('Graz. Nut.'!$B34&gt;0,IF(('Man. Bal.'!M30/'Graz. Nut.'!$B34)-('Graz. Nut.'!I19/'Graz. Nut.'!$F19)&gt;0,('Man. Bal.'!M30/'Graz. Nut.'!$B34)-('Graz. Nut.'!I19/'Graz. Nut.'!$F19),0),0)</f>
        <v>301.06389705882356</v>
      </c>
      <c r="F34" s="172">
        <f>IF('Graz. Nut.'!$B34&gt;0,IF(('Graz. Nut.'!G19/'Graz. Nut.'!$F19)-('Man. Bal.'!K30/'Graz. Nut.'!$B34)&gt;0,('Graz. Nut.'!G19/'Graz. Nut.'!$F19)-('Man. Bal.'!K30/'Graz. Nut.'!$B34),0),0)</f>
        <v>25.076171470588214</v>
      </c>
      <c r="G34" s="172">
        <f>IF('Graz. Nut.'!$B34&gt;0,IF(('Graz. Nut.'!H19/'Graz. Nut.'!$F19)-('Man. Bal.'!L30/'Graz. Nut.'!$B34)&gt;0,('Graz. Nut.'!H19/'Graz. Nut.'!$F19)-('Man. Bal.'!L30/'Graz. Nut.'!$B34),0),0)</f>
        <v>0</v>
      </c>
      <c r="H34" s="173">
        <f>IF('Graz. Nut.'!$B34&gt;0,IF(('Graz. Nut.'!I19/'Graz. Nut.'!$F19)-('Man. Bal.'!M30/'Graz. Nut.'!$B34)&gt;0,('Graz. Nut.'!I19/'Graz. Nut.'!$F19)-('Man. Bal.'!M30/'Graz. Nut.'!$B34),0),0)</f>
        <v>0</v>
      </c>
      <c r="I34" s="174">
        <f>IF('Man. Bal.'!K30&gt;0,'Graz. Nut.'!G19/'Man. Bal.'!K30,0)</f>
        <v>3.6121011948529325</v>
      </c>
      <c r="J34" s="174">
        <f>IF(A34=" "," ",IF('Man. Bal.'!L30&gt;0,'Graz. Nut.'!H19/'Man. Bal.'!L30,0))</f>
        <v>0.21815844758956213</v>
      </c>
      <c r="K34" s="175">
        <f>IF(A34=" "," ",IF('Man. Bal.'!M30&gt;0,'Graz. Nut.'!I19/'Man. Bal.'!M30,0))</f>
        <v>0.1637113970588235</v>
      </c>
      <c r="L34" s="5"/>
      <c r="M34" s="5"/>
      <c r="N34" s="33"/>
    </row>
    <row r="35" spans="1:14" ht="15.75">
      <c r="A35" s="176" t="str">
        <f>'Man. Bal.'!$C31</f>
        <v>3</v>
      </c>
      <c r="B35" s="177">
        <f>'Man. Bal.'!$D31</f>
        <v>5</v>
      </c>
      <c r="C35" s="178">
        <f>IF('Graz. Nut.'!$B35&gt;0,IF(('Man. Bal.'!K31/'Graz. Nut.'!$B35)-('Graz. Nut.'!G20/'Graz. Nut.'!$F20)&gt;0,('Man. Bal.'!K31/'Graz. Nut.'!$B35)-('Graz. Nut.'!G20/'Graz. Nut.'!$F20),0),0)</f>
        <v>159.96094920000002</v>
      </c>
      <c r="D35" s="178">
        <f>IF('Graz. Nut.'!$B35&gt;0,IF(('Man. Bal.'!L31/'Graz. Nut.'!$B35)-('Graz. Nut.'!H20/'Graz. Nut.'!$F20)&gt;0,('Man. Bal.'!L31/'Graz. Nut.'!$B35)-('Graz. Nut.'!H20/'Graz. Nut.'!$F20),0),0)</f>
        <v>37.7553</v>
      </c>
      <c r="E35" s="179">
        <f>IF('Graz. Nut.'!$B35&gt;0,IF(('Man. Bal.'!M31/'Graz. Nut.'!$B35)-('Graz. Nut.'!I20/'Graz. Nut.'!$F20)&gt;0,('Man. Bal.'!M31/'Graz. Nut.'!$B35)-('Graz. Nut.'!I20/'Graz. Nut.'!$F20),0),0)</f>
        <v>82.97610000000003</v>
      </c>
      <c r="F35" s="178">
        <f>IF('Graz. Nut.'!$B35&gt;0,IF(('Graz. Nut.'!G20/'Graz. Nut.'!$F20)-('Man. Bal.'!K31/'Graz. Nut.'!$B35)&gt;0,('Graz. Nut.'!G20/'Graz. Nut.'!$F20)-('Man. Bal.'!K31/'Graz. Nut.'!$B35),0),0)</f>
        <v>0</v>
      </c>
      <c r="G35" s="178">
        <f>IF('Graz. Nut.'!$B35&gt;0,IF(('Graz. Nut.'!H20/'Graz. Nut.'!$F20)-('Man. Bal.'!L31/'Graz. Nut.'!$B35)&gt;0,('Graz. Nut.'!H20/'Graz. Nut.'!$F20)-('Man. Bal.'!L31/'Graz. Nut.'!$B35),0),0)</f>
        <v>0</v>
      </c>
      <c r="H35" s="179">
        <f>IF('Graz. Nut.'!$B35&gt;0,IF(('Graz. Nut.'!I20/'Graz. Nut.'!$F20)-('Man. Bal.'!M31/'Graz. Nut.'!$B35)&gt;0,('Graz. Nut.'!I20/'Graz. Nut.'!$F20)-('Man. Bal.'!M31/'Graz. Nut.'!$B35),0),0)</f>
        <v>0</v>
      </c>
      <c r="I35" s="180">
        <f>IF('Man. Bal.'!K31&gt;0,'Graz. Nut.'!G20/'Man. Bal.'!K31,0)</f>
        <v>0.40755204</v>
      </c>
      <c r="J35" s="180">
        <f>IF(A35=" "," ",IF('Man. Bal.'!L31&gt;0,'Graz. Nut.'!H20/'Man. Bal.'!L31,0))</f>
        <v>0.5940290322580645</v>
      </c>
      <c r="K35" s="181">
        <f>IF(A35=" "," ",IF('Man. Bal.'!M31&gt;0,'Graz. Nut.'!I20/'Man. Bal.'!M31,0))</f>
        <v>0.692681111111111</v>
      </c>
      <c r="L35" s="5"/>
      <c r="M35" s="5"/>
      <c r="N35" s="33"/>
    </row>
    <row r="36" spans="1:14" ht="15.75">
      <c r="A36" s="176" t="str">
        <f>'Man. Bal.'!$C32</f>
        <v>9-15</v>
      </c>
      <c r="B36" s="177">
        <f>'Man. Bal.'!$D32</f>
        <v>30</v>
      </c>
      <c r="C36" s="178">
        <f>IF('Graz. Nut.'!$B36&gt;0,IF(('Man. Bal.'!K32/'Graz. Nut.'!$B36)-('Graz. Nut.'!G21/'Graz. Nut.'!$F21)&gt;0,('Man. Bal.'!K32/'Graz. Nut.'!$B36)-('Graz. Nut.'!G21/'Graz. Nut.'!$F21),0),0)</f>
        <v>126.4</v>
      </c>
      <c r="D36" s="178">
        <f>IF('Graz. Nut.'!$B36&gt;0,IF(('Man. Bal.'!L32/'Graz. Nut.'!$B36)-('Graz. Nut.'!H21/'Graz. Nut.'!$F21)&gt;0,('Man. Bal.'!L32/'Graz. Nut.'!$B36)-('Graz. Nut.'!H21/'Graz. Nut.'!$F21),0),0)</f>
        <v>52</v>
      </c>
      <c r="E36" s="179">
        <f>IF('Graz. Nut.'!$B36&gt;0,IF(('Man. Bal.'!M32/'Graz. Nut.'!$B36)-('Graz. Nut.'!I21/'Graz. Nut.'!$F21)&gt;0,('Man. Bal.'!M32/'Graz. Nut.'!$B36)-('Graz. Nut.'!I21/'Graz. Nut.'!$F21),0),0)</f>
        <v>240</v>
      </c>
      <c r="F36" s="178">
        <f>IF('Graz. Nut.'!$B36&gt;0,IF(('Graz. Nut.'!G21/'Graz. Nut.'!$F21)-('Man. Bal.'!K32/'Graz. Nut.'!$B36)&gt;0,('Graz. Nut.'!G21/'Graz. Nut.'!$F21)-('Man. Bal.'!K32/'Graz. Nut.'!$B36),0),0)</f>
        <v>0</v>
      </c>
      <c r="G36" s="178">
        <f>IF('Graz. Nut.'!$B36&gt;0,IF(('Graz. Nut.'!H21/'Graz. Nut.'!$F21)-('Man. Bal.'!L32/'Graz. Nut.'!$B36)&gt;0,('Graz. Nut.'!H21/'Graz. Nut.'!$F21)-('Man. Bal.'!L32/'Graz. Nut.'!$B36),0),0)</f>
        <v>0</v>
      </c>
      <c r="H36" s="179">
        <f>IF('Graz. Nut.'!$B36&gt;0,IF(('Graz. Nut.'!I21/'Graz. Nut.'!$F21)-('Man. Bal.'!M32/'Graz. Nut.'!$B36)&gt;0,('Graz. Nut.'!I21/'Graz. Nut.'!$F21)-('Man. Bal.'!M32/'Graz. Nut.'!$B36),0),0)</f>
        <v>0</v>
      </c>
      <c r="I36" s="180">
        <f>IF('Man. Bal.'!K32&gt;0,'Graz. Nut.'!G21/'Man. Bal.'!K32,0)</f>
        <v>0</v>
      </c>
      <c r="J36" s="180">
        <f>IF(A36=" "," ",IF('Man. Bal.'!L32&gt;0,'Graz. Nut.'!H21/'Man. Bal.'!L32,0))</f>
        <v>0</v>
      </c>
      <c r="K36" s="181">
        <f>IF(A36=" "," ",IF('Man. Bal.'!M32&gt;0,'Graz. Nut.'!I21/'Man. Bal.'!M32,0))</f>
        <v>0</v>
      </c>
      <c r="L36" s="5"/>
      <c r="M36" s="5"/>
      <c r="N36" s="33"/>
    </row>
    <row r="37" spans="1:14" ht="15.75">
      <c r="A37" s="176" t="str">
        <f>'Man. Bal.'!$C33</f>
        <v>5,7,8</v>
      </c>
      <c r="B37" s="177">
        <f>'Man. Bal.'!$D33</f>
        <v>80</v>
      </c>
      <c r="C37" s="178">
        <f>IF('Graz. Nut.'!$B37&gt;0,IF(('Man. Bal.'!K33/'Graz. Nut.'!$B37)-('Graz. Nut.'!G22/'Graz. Nut.'!$F22)&gt;0,('Man. Bal.'!K33/'Graz. Nut.'!$B37)-('Graz. Nut.'!G22/'Graz. Nut.'!$F22),0),0)</f>
        <v>204</v>
      </c>
      <c r="D37" s="178">
        <f>IF('Graz. Nut.'!$B37&gt;0,IF(('Man. Bal.'!L33/'Graz. Nut.'!$B37)-('Graz. Nut.'!H22/'Graz. Nut.'!$F22)&gt;0,('Man. Bal.'!L33/'Graz. Nut.'!$B37)-('Graz. Nut.'!H22/'Graz. Nut.'!$F22),0),0)</f>
        <v>84</v>
      </c>
      <c r="E37" s="179">
        <f>IF('Graz. Nut.'!$B37&gt;0,IF(('Man. Bal.'!M33/'Graz. Nut.'!$B37)-('Graz. Nut.'!I22/'Graz. Nut.'!$F22)&gt;0,('Man. Bal.'!M33/'Graz. Nut.'!$B37)-('Graz. Nut.'!I22/'Graz. Nut.'!$F22),0),0)</f>
        <v>240</v>
      </c>
      <c r="F37" s="178">
        <f>IF('Graz. Nut.'!$B37&gt;0,IF(('Graz. Nut.'!G22/'Graz. Nut.'!$F22)-('Man. Bal.'!K33/'Graz. Nut.'!$B37)&gt;0,('Graz. Nut.'!G22/'Graz. Nut.'!$F22)-('Man. Bal.'!K33/'Graz. Nut.'!$B37),0),0)</f>
        <v>0</v>
      </c>
      <c r="G37" s="178">
        <f>IF('Graz. Nut.'!$B37&gt;0,IF(('Graz. Nut.'!H22/'Graz. Nut.'!$F22)-('Man. Bal.'!L33/'Graz. Nut.'!$B37)&gt;0,('Graz. Nut.'!H22/'Graz. Nut.'!$F22)-('Man. Bal.'!L33/'Graz. Nut.'!$B37),0),0)</f>
        <v>0</v>
      </c>
      <c r="H37" s="179">
        <f>IF('Graz. Nut.'!$B37&gt;0,IF(('Graz. Nut.'!I22/'Graz. Nut.'!$F22)-('Man. Bal.'!M33/'Graz. Nut.'!$B37)&gt;0,('Graz. Nut.'!I22/'Graz. Nut.'!$F22)-('Man. Bal.'!M33/'Graz. Nut.'!$B37),0),0)</f>
        <v>0</v>
      </c>
      <c r="I37" s="180">
        <f>IF('Man. Bal.'!K33&gt;0,'Graz. Nut.'!G22/'Man. Bal.'!K33,0)</f>
        <v>0</v>
      </c>
      <c r="J37" s="180">
        <f>IF(A37=" "," ",IF('Man. Bal.'!L33&gt;0,'Graz. Nut.'!H22/'Man. Bal.'!L33,0))</f>
        <v>0</v>
      </c>
      <c r="K37" s="181">
        <f>IF(A37=" "," ",IF('Man. Bal.'!M33&gt;0,'Graz. Nut.'!I22/'Man. Bal.'!M33,0))</f>
        <v>0</v>
      </c>
      <c r="L37" s="5"/>
      <c r="M37" s="5"/>
      <c r="N37" s="33"/>
    </row>
    <row r="38" spans="1:14" ht="15.75">
      <c r="A38" s="176">
        <f>'Man. Bal.'!$C34</f>
        <v>0</v>
      </c>
      <c r="B38" s="177">
        <f>'Man. Bal.'!$D34</f>
        <v>0</v>
      </c>
      <c r="C38" s="178">
        <f>IF('Graz. Nut.'!$B38&gt;0,IF(('Man. Bal.'!K34/'Graz. Nut.'!$B38)-('Graz. Nut.'!G23/'Graz. Nut.'!$F23)&gt;0,('Man. Bal.'!K34/'Graz. Nut.'!$B38)-('Graz. Nut.'!G23/'Graz. Nut.'!$F23),0),0)</f>
        <v>0</v>
      </c>
      <c r="D38" s="178">
        <f>IF('Graz. Nut.'!$B38&gt;0,IF(('Man. Bal.'!L34/'Graz. Nut.'!$B38)-('Graz. Nut.'!H23/'Graz. Nut.'!$F23)&gt;0,('Man. Bal.'!L34/'Graz. Nut.'!$B38)-('Graz. Nut.'!H23/'Graz. Nut.'!$F23),0),0)</f>
        <v>0</v>
      </c>
      <c r="E38" s="179">
        <f>IF('Graz. Nut.'!$B38&gt;0,IF(('Man. Bal.'!M34/'Graz. Nut.'!$B38)-('Graz. Nut.'!I23/'Graz. Nut.'!$F23)&gt;0,('Man. Bal.'!M34/'Graz. Nut.'!$B38)-('Graz. Nut.'!I23/'Graz. Nut.'!$F23),0),0)</f>
        <v>0</v>
      </c>
      <c r="F38" s="178">
        <f>IF('Graz. Nut.'!$B38&gt;0,IF(('Graz. Nut.'!G23/'Graz. Nut.'!$F23)-('Man. Bal.'!K34/'Graz. Nut.'!$B38)&gt;0,('Graz. Nut.'!G23/'Graz. Nut.'!$F23)-('Man. Bal.'!K34/'Graz. Nut.'!$B38),0),0)</f>
        <v>0</v>
      </c>
      <c r="G38" s="178">
        <f>IF('Graz. Nut.'!$B38&gt;0,IF(('Graz. Nut.'!H23/'Graz. Nut.'!$F23)-('Man. Bal.'!L34/'Graz. Nut.'!$B38)&gt;0,('Graz. Nut.'!H23/'Graz. Nut.'!$F23)-('Man. Bal.'!L34/'Graz. Nut.'!$B38),0),0)</f>
        <v>0</v>
      </c>
      <c r="H38" s="179">
        <f>IF('Graz. Nut.'!$B38&gt;0,IF(('Graz. Nut.'!I23/'Graz. Nut.'!$F23)-('Man. Bal.'!M34/'Graz. Nut.'!$B38)&gt;0,('Graz. Nut.'!I23/'Graz. Nut.'!$F23)-('Man. Bal.'!M34/'Graz. Nut.'!$B38),0),0)</f>
        <v>0</v>
      </c>
      <c r="I38" s="180">
        <f>IF('Man. Bal.'!K34&gt;0,'Graz. Nut.'!G23/'Man. Bal.'!K34,0)</f>
        <v>0</v>
      </c>
      <c r="J38" s="180">
        <f>IF(A38=" "," ",IF('Man. Bal.'!L34&gt;0,'Graz. Nut.'!H23/'Man. Bal.'!L34,0))</f>
        <v>0</v>
      </c>
      <c r="K38" s="181">
        <f>IF(A38=" "," ",IF('Man. Bal.'!M34&gt;0,'Graz. Nut.'!I23/'Man. Bal.'!M34,0))</f>
        <v>0</v>
      </c>
      <c r="L38" s="5"/>
      <c r="M38" s="5"/>
      <c r="N38" s="5"/>
    </row>
    <row r="39" spans="1:14" ht="15.75">
      <c r="A39" s="176">
        <f>'Man. Bal.'!$C35</f>
        <v>0</v>
      </c>
      <c r="B39" s="177">
        <f>'Man. Bal.'!$D35</f>
        <v>0</v>
      </c>
      <c r="C39" s="178">
        <f>IF('Graz. Nut.'!$B39&gt;0,IF(('Man. Bal.'!K35/'Graz. Nut.'!$B39)-('Graz. Nut.'!G24/'Graz. Nut.'!$F24)&gt;0,('Man. Bal.'!K35/'Graz. Nut.'!$B39)-('Graz. Nut.'!G24/'Graz. Nut.'!$F24),0),0)</f>
        <v>0</v>
      </c>
      <c r="D39" s="178">
        <f>IF('Graz. Nut.'!$B39&gt;0,IF(('Man. Bal.'!L35/'Graz. Nut.'!$B39)-('Graz. Nut.'!H24/'Graz. Nut.'!$F24)&gt;0,('Man. Bal.'!L35/'Graz. Nut.'!$B39)-('Graz. Nut.'!H24/'Graz. Nut.'!$F24),0),0)</f>
        <v>0</v>
      </c>
      <c r="E39" s="179">
        <f>IF('Graz. Nut.'!$B39&gt;0,IF(('Man. Bal.'!M35/'Graz. Nut.'!$B39)-('Graz. Nut.'!I24/'Graz. Nut.'!$F24)&gt;0,('Man. Bal.'!M35/'Graz. Nut.'!$B39)-('Graz. Nut.'!I24/'Graz. Nut.'!$F24),0),0)</f>
        <v>0</v>
      </c>
      <c r="F39" s="178">
        <f>IF('Graz. Nut.'!$B39&gt;0,IF(('Graz. Nut.'!G24/'Graz. Nut.'!$F24)-('Man. Bal.'!K35/'Graz. Nut.'!$B39)&gt;0,('Graz. Nut.'!G24/'Graz. Nut.'!$F24)-('Man. Bal.'!K35/'Graz. Nut.'!$B39),0),0)</f>
        <v>0</v>
      </c>
      <c r="G39" s="178">
        <f>IF('Graz. Nut.'!$B39&gt;0,IF(('Graz. Nut.'!H24/'Graz. Nut.'!$F24)-('Man. Bal.'!L35/'Graz. Nut.'!$B39)&gt;0,('Graz. Nut.'!H24/'Graz. Nut.'!$F24)-('Man. Bal.'!L35/'Graz. Nut.'!$B39),0),0)</f>
        <v>0</v>
      </c>
      <c r="H39" s="179">
        <f>IF('Graz. Nut.'!$B39&gt;0,IF(('Graz. Nut.'!I24/'Graz. Nut.'!$F24)-('Man. Bal.'!M35/'Graz. Nut.'!$B39)&gt;0,('Graz. Nut.'!I24/'Graz. Nut.'!$F24)-('Man. Bal.'!M35/'Graz. Nut.'!$B39),0),0)</f>
        <v>0</v>
      </c>
      <c r="I39" s="180">
        <f>IF('Man. Bal.'!K35&gt;0,'Graz. Nut.'!G24/'Man. Bal.'!K35,0)</f>
        <v>0</v>
      </c>
      <c r="J39" s="180">
        <f>IF(A39=" "," ",IF('Man. Bal.'!L35&gt;0,'Graz. Nut.'!H24/'Man. Bal.'!L35,0))</f>
        <v>0</v>
      </c>
      <c r="K39" s="181">
        <f>IF(A39=" "," ",IF('Man. Bal.'!M35&gt;0,'Graz. Nut.'!I24/'Man. Bal.'!M35,0))</f>
        <v>0</v>
      </c>
      <c r="L39" s="5"/>
      <c r="M39" s="5"/>
      <c r="N39" s="5"/>
    </row>
    <row r="40" spans="1:14" ht="15.75">
      <c r="A40" s="176">
        <f>'Man. Bal.'!$C36</f>
        <v>0</v>
      </c>
      <c r="B40" s="177">
        <f>'Man. Bal.'!$D36</f>
        <v>0</v>
      </c>
      <c r="C40" s="178">
        <f>IF('Graz. Nut.'!$B40&gt;0,IF(('Man. Bal.'!K36/'Graz. Nut.'!$B40)-('Graz. Nut.'!G25/'Graz. Nut.'!$F25)&gt;0,('Man. Bal.'!K36/'Graz. Nut.'!$B40)-('Graz. Nut.'!G25/'Graz. Nut.'!$F25),0),0)</f>
        <v>0</v>
      </c>
      <c r="D40" s="178">
        <f>IF('Graz. Nut.'!$B40&gt;0,IF(('Man. Bal.'!L36/'Graz. Nut.'!$B40)-('Graz. Nut.'!H25/'Graz. Nut.'!$F25)&gt;0,('Man. Bal.'!L36/'Graz. Nut.'!$B40)-('Graz. Nut.'!H25/'Graz. Nut.'!$F25),0),0)</f>
        <v>0</v>
      </c>
      <c r="E40" s="179">
        <f>IF('Graz. Nut.'!$B40&gt;0,IF(('Man. Bal.'!M36/'Graz. Nut.'!$B40)-('Graz. Nut.'!I25/'Graz. Nut.'!$F25)&gt;0,('Man. Bal.'!M36/'Graz. Nut.'!$B40)-('Graz. Nut.'!I25/'Graz. Nut.'!$F25),0),0)</f>
        <v>0</v>
      </c>
      <c r="F40" s="178">
        <f>IF('Graz. Nut.'!$B40&gt;0,IF(('Graz. Nut.'!G25/'Graz. Nut.'!$F25)-('Man. Bal.'!K36/'Graz. Nut.'!$B40)&gt;0,('Graz. Nut.'!G25/'Graz. Nut.'!$F25)-('Man. Bal.'!K36/'Graz. Nut.'!$B40),0),0)</f>
        <v>0</v>
      </c>
      <c r="G40" s="178">
        <f>IF('Graz. Nut.'!$B40&gt;0,IF(('Graz. Nut.'!H25/'Graz. Nut.'!$F25)-('Man. Bal.'!L36/'Graz. Nut.'!$B40)&gt;0,('Graz. Nut.'!H25/'Graz. Nut.'!$F25)-('Man. Bal.'!L36/'Graz. Nut.'!$B40),0),0)</f>
        <v>0</v>
      </c>
      <c r="H40" s="179">
        <f>IF('Graz. Nut.'!$B40&gt;0,IF(('Graz. Nut.'!I25/'Graz. Nut.'!$F25)-('Man. Bal.'!M36/'Graz. Nut.'!$B40)&gt;0,('Graz. Nut.'!I25/'Graz. Nut.'!$F25)-('Man. Bal.'!M36/'Graz. Nut.'!$B40),0),0)</f>
        <v>0</v>
      </c>
      <c r="I40" s="180">
        <f>IF('Man. Bal.'!K36&gt;0,'Graz. Nut.'!G25/'Man. Bal.'!K36,0)</f>
        <v>0</v>
      </c>
      <c r="J40" s="180">
        <f>IF(A40=" "," ",IF('Man. Bal.'!L36&gt;0,'Graz. Nut.'!H25/'Man. Bal.'!L36,0))</f>
        <v>0</v>
      </c>
      <c r="K40" s="181">
        <f>IF(A40=" "," ",IF('Man. Bal.'!M36&gt;0,'Graz. Nut.'!I25/'Man. Bal.'!M36,0))</f>
        <v>0</v>
      </c>
      <c r="L40" s="5"/>
      <c r="M40" s="5"/>
      <c r="N40" s="5"/>
    </row>
    <row r="41" spans="1:14" ht="15.75">
      <c r="A41" s="176" t="str">
        <f>'Man. Bal.'!$C37</f>
        <v> </v>
      </c>
      <c r="B41" s="177">
        <f>'Man. Bal.'!$D37</f>
        <v>0</v>
      </c>
      <c r="C41" s="178">
        <f>IF('Graz. Nut.'!$B41&gt;0,IF(('Man. Bal.'!K37/'Graz. Nut.'!$B41)-('Graz. Nut.'!G26/'Graz. Nut.'!$F26)&gt;0,('Man. Bal.'!K37/'Graz. Nut.'!$B41)-('Graz. Nut.'!G26/'Graz. Nut.'!$F26),0),0)</f>
        <v>0</v>
      </c>
      <c r="D41" s="178">
        <f>IF('Graz. Nut.'!$B41&gt;0,IF(('Man. Bal.'!L37/'Graz. Nut.'!$B41)-('Graz. Nut.'!H26/'Graz. Nut.'!$F26)&gt;0,('Man. Bal.'!L37/'Graz. Nut.'!$B41)-('Graz. Nut.'!H26/'Graz. Nut.'!$F26),0),0)</f>
        <v>0</v>
      </c>
      <c r="E41" s="179">
        <f>IF('Graz. Nut.'!$B41&gt;0,IF(('Man. Bal.'!M37/'Graz. Nut.'!$B41)-('Graz. Nut.'!I26/'Graz. Nut.'!$F26)&gt;0,('Man. Bal.'!M37/'Graz. Nut.'!$B41)-('Graz. Nut.'!I26/'Graz. Nut.'!$F26),0),0)</f>
        <v>0</v>
      </c>
      <c r="F41" s="178">
        <f>IF('Graz. Nut.'!$B41&gt;0,IF(('Graz. Nut.'!G26/'Graz. Nut.'!$F26)-('Man. Bal.'!K37/'Graz. Nut.'!$B41)&gt;0,('Graz. Nut.'!G26/'Graz. Nut.'!$F26)-('Man. Bal.'!K37/'Graz. Nut.'!$B41),0),0)</f>
        <v>0</v>
      </c>
      <c r="G41" s="178">
        <f>IF('Graz. Nut.'!$B41&gt;0,IF(('Graz. Nut.'!H26/'Graz. Nut.'!$F26)-('Man. Bal.'!L37/'Graz. Nut.'!$B41)&gt;0,('Graz. Nut.'!H26/'Graz. Nut.'!$F26)-('Man. Bal.'!L37/'Graz. Nut.'!$B41),0),0)</f>
        <v>0</v>
      </c>
      <c r="H41" s="179">
        <f>IF('Graz. Nut.'!$B41&gt;0,IF(('Graz. Nut.'!I26/'Graz. Nut.'!$F26)-('Man. Bal.'!M37/'Graz. Nut.'!$B41)&gt;0,('Graz. Nut.'!I26/'Graz. Nut.'!$F26)-('Man. Bal.'!M37/'Graz. Nut.'!$B41),0),0)</f>
        <v>0</v>
      </c>
      <c r="I41" s="180">
        <f>IF('Man. Bal.'!K37&gt;0,'Graz. Nut.'!G26/'Man. Bal.'!K37,0)</f>
        <v>0</v>
      </c>
      <c r="J41" s="180" t="str">
        <f>IF(A41=" "," ",IF('Man. Bal.'!L37&gt;0,'Graz. Nut.'!H26/'Man. Bal.'!L37,0))</f>
        <v> </v>
      </c>
      <c r="K41" s="181" t="str">
        <f>IF(A41=" "," ",IF('Man. Bal.'!M37&gt;0,'Graz. Nut.'!I26/'Man. Bal.'!M37,0))</f>
        <v> </v>
      </c>
      <c r="L41" s="5"/>
      <c r="M41" s="5"/>
      <c r="N41" s="5"/>
    </row>
    <row r="42" spans="1:14" ht="15.75">
      <c r="A42" s="176" t="str">
        <f>'Man. Bal.'!$C38</f>
        <v> </v>
      </c>
      <c r="B42" s="177">
        <f>'Man. Bal.'!$D38</f>
        <v>0</v>
      </c>
      <c r="C42" s="178">
        <f>IF('Graz. Nut.'!$B42&gt;0,IF(('Man. Bal.'!K38/'Graz. Nut.'!$B42)-('Graz. Nut.'!G27/'Graz. Nut.'!$F27)&gt;0,('Man. Bal.'!K38/'Graz. Nut.'!$B42)-('Graz. Nut.'!G27/'Graz. Nut.'!$F27),0),0)</f>
        <v>0</v>
      </c>
      <c r="D42" s="178">
        <f>IF('Graz. Nut.'!$B42&gt;0,IF(('Man. Bal.'!L38/'Graz. Nut.'!$B42)-('Graz. Nut.'!H27/'Graz. Nut.'!$F27)&gt;0,('Man. Bal.'!L38/'Graz. Nut.'!$B42)-('Graz. Nut.'!H27/'Graz. Nut.'!$F27),0),0)</f>
        <v>0</v>
      </c>
      <c r="E42" s="179">
        <f>IF('Graz. Nut.'!$B42&gt;0,IF(('Man. Bal.'!M38/'Graz. Nut.'!$B42)-('Graz. Nut.'!I27/'Graz. Nut.'!$F27)&gt;0,('Man. Bal.'!M38/'Graz. Nut.'!$B42)-('Graz. Nut.'!I27/'Graz. Nut.'!$F27),0),0)</f>
        <v>0</v>
      </c>
      <c r="F42" s="178">
        <f>IF('Graz. Nut.'!$B42&gt;0,IF(('Graz. Nut.'!G27/'Graz. Nut.'!$F27)-('Man. Bal.'!K38/'Graz. Nut.'!$B42)&gt;0,('Graz. Nut.'!G27/'Graz. Nut.'!$F27)-('Man. Bal.'!K38/'Graz. Nut.'!$B42),0),0)</f>
        <v>0</v>
      </c>
      <c r="G42" s="178">
        <f>IF('Graz. Nut.'!$B42&gt;0,IF(('Graz. Nut.'!H27/'Graz. Nut.'!$F27)-('Man. Bal.'!L38/'Graz. Nut.'!$B42)&gt;0,('Graz. Nut.'!H27/'Graz. Nut.'!$F27)-('Man. Bal.'!L38/'Graz. Nut.'!$B42),0),0)</f>
        <v>0</v>
      </c>
      <c r="H42" s="179">
        <f>IF('Graz. Nut.'!$B42&gt;0,IF(('Graz. Nut.'!I27/'Graz. Nut.'!$F27)-('Man. Bal.'!M38/'Graz. Nut.'!$B42)&gt;0,('Graz. Nut.'!I27/'Graz. Nut.'!$F27)-('Man. Bal.'!M38/'Graz. Nut.'!$B42),0),0)</f>
        <v>0</v>
      </c>
      <c r="I42" s="180">
        <f>IF('Man. Bal.'!K38&gt;0,'Graz. Nut.'!G27/'Man. Bal.'!K38,0)</f>
        <v>0</v>
      </c>
      <c r="J42" s="180" t="str">
        <f>IF(A42=" "," ",IF('Man. Bal.'!L38&gt;0,'Graz. Nut.'!H27/'Man. Bal.'!L38,0))</f>
        <v> </v>
      </c>
      <c r="K42" s="181" t="str">
        <f>IF(A42=" "," ",IF('Man. Bal.'!M38&gt;0,'Graz. Nut.'!I27/'Man. Bal.'!M38,0))</f>
        <v> </v>
      </c>
      <c r="L42" s="5"/>
      <c r="M42" s="5"/>
      <c r="N42" s="5"/>
    </row>
    <row r="43" spans="1:14" ht="15.75">
      <c r="A43" s="182" t="str">
        <f>'Man. Bal.'!$C39</f>
        <v> </v>
      </c>
      <c r="B43" s="146">
        <f>'Man. Bal.'!$D39</f>
        <v>0</v>
      </c>
      <c r="C43" s="183">
        <f>IF('Graz. Nut.'!$B43&gt;0,IF(('Man. Bal.'!K39/'Graz. Nut.'!$B43)-('Graz. Nut.'!G28/'Graz. Nut.'!$F28)&gt;0,('Man. Bal.'!K39/'Graz. Nut.'!$B43)-('Graz. Nut.'!G28/'Graz. Nut.'!$F28),0),0)</f>
        <v>0</v>
      </c>
      <c r="D43" s="183">
        <f>IF('Graz. Nut.'!$B43&gt;0,IF(('Man. Bal.'!L39/'Graz. Nut.'!$B43)-('Graz. Nut.'!H28/'Graz. Nut.'!$F28)&gt;0,('Man. Bal.'!L39/'Graz. Nut.'!$B43)-('Graz. Nut.'!H28/'Graz. Nut.'!$F28),0),0)</f>
        <v>0</v>
      </c>
      <c r="E43" s="184">
        <f>IF('Graz. Nut.'!$B43&gt;0,IF(('Man. Bal.'!M39/'Graz. Nut.'!$B43)-('Graz. Nut.'!I28/'Graz. Nut.'!$F28)&gt;0,('Man. Bal.'!M39/'Graz. Nut.'!$B43)-('Graz. Nut.'!I28/'Graz. Nut.'!$F28),0),0)</f>
        <v>0</v>
      </c>
      <c r="F43" s="183">
        <f>IF('Graz. Nut.'!$B43&gt;0,IF(('Graz. Nut.'!G28/'Graz. Nut.'!$F28)-('Man. Bal.'!K39/'Graz. Nut.'!$B43)&gt;0,('Graz. Nut.'!G28/'Graz. Nut.'!$F28)-('Man. Bal.'!K39/'Graz. Nut.'!$B43),0),0)</f>
        <v>0</v>
      </c>
      <c r="G43" s="183">
        <f>IF('Graz. Nut.'!$B43&gt;0,IF(('Graz. Nut.'!H28/'Graz. Nut.'!$F28)-('Man. Bal.'!L39/'Graz. Nut.'!$B43)&gt;0,('Graz. Nut.'!H28/'Graz. Nut.'!$F28)-('Man. Bal.'!L39/'Graz. Nut.'!$B43),0),0)</f>
        <v>0</v>
      </c>
      <c r="H43" s="184">
        <f>IF('Graz. Nut.'!$B43&gt;0,IF(('Graz. Nut.'!I28/'Graz. Nut.'!$F28)-('Man. Bal.'!M39/'Graz. Nut.'!$B43)&gt;0,('Graz. Nut.'!I28/'Graz. Nut.'!$F28)-('Man. Bal.'!M39/'Graz. Nut.'!$B43),0),0)</f>
        <v>0</v>
      </c>
      <c r="I43" s="185">
        <f>IF('Man. Bal.'!K39&gt;0,'Graz. Nut.'!G28/'Man. Bal.'!K39,0)</f>
        <v>0</v>
      </c>
      <c r="J43" s="185" t="str">
        <f>IF(A43=" "," ",IF('Man. Bal.'!L39&gt;0,'Graz. Nut.'!H28/'Man. Bal.'!L39,0))</f>
        <v> </v>
      </c>
      <c r="K43" s="94" t="str">
        <f>IF(A43=" "," ",IF('Man. Bal.'!M39&gt;0,'Graz. Nut.'!I28/'Man. Bal.'!M39,0))</f>
        <v> </v>
      </c>
      <c r="L43" s="5"/>
      <c r="M43" s="5"/>
      <c r="N43" s="5"/>
    </row>
    <row r="44" spans="1:14" ht="15.75">
      <c r="A44" s="5"/>
      <c r="B44" s="33"/>
      <c r="C44" s="33"/>
      <c r="D44" s="33"/>
      <c r="E44" s="33"/>
      <c r="F44" s="33"/>
      <c r="G44" s="33"/>
      <c r="H44" s="33"/>
      <c r="I44" s="33"/>
      <c r="J44" s="25"/>
      <c r="K44" s="5"/>
      <c r="L44" s="70"/>
      <c r="M44" s="110"/>
      <c r="N44" s="110"/>
    </row>
    <row r="45" spans="1:14" ht="15.75">
      <c r="A45" s="70"/>
      <c r="B45" s="87"/>
      <c r="C45" s="87"/>
      <c r="D45" s="87"/>
      <c r="E45" s="87"/>
      <c r="F45" s="87"/>
      <c r="G45" s="87"/>
      <c r="H45" s="186"/>
      <c r="I45" s="109" t="s">
        <v>16</v>
      </c>
      <c r="J45" s="109" t="s">
        <v>40</v>
      </c>
      <c r="K45" s="109" t="s">
        <v>41</v>
      </c>
      <c r="N45" s="110"/>
    </row>
    <row r="46" spans="1:14" ht="15.75">
      <c r="A46" s="87" t="s">
        <v>260</v>
      </c>
      <c r="B46" s="70"/>
      <c r="C46" s="187">
        <f>SUM('Graz. Nut.'!C34:'Graz. Nut.'!C41)</f>
        <v>490.36094920000005</v>
      </c>
      <c r="D46" s="187">
        <f>SUM('Graz. Nut.'!D34:'Graz. Nut.'!D41)</f>
        <v>236.14625588235296</v>
      </c>
      <c r="E46" s="187">
        <f>SUM('Graz. Nut.'!E34:'Graz. Nut.'!E41)</f>
        <v>864.0399970588236</v>
      </c>
      <c r="F46" s="187">
        <f>SUM('Graz. Nut.'!F34:'Graz. Nut.'!F41)</f>
        <v>25.076171470588214</v>
      </c>
      <c r="G46" s="187">
        <f>SUM('Graz. Nut.'!G34:'Graz. Nut.'!G41)</f>
        <v>0</v>
      </c>
      <c r="H46" s="187">
        <f>SUM('Graz. Nut.'!H34:'Graz. Nut.'!H41)</f>
        <v>0</v>
      </c>
      <c r="I46" s="187">
        <f>SUM('Graz. Nut.'!G19:'Graz. Nut.'!G28)</f>
        <v>1729.185084</v>
      </c>
      <c r="J46" s="187">
        <f>SUM('Graz. Nut.'!H19:'Graz. Nut.'!H28)</f>
        <v>868.1310000000001</v>
      </c>
      <c r="K46" s="187">
        <f>SUM('Graz. Nut.'!I19:'Graz. Nut.'!I28)</f>
        <v>2938.9469999999997</v>
      </c>
      <c r="L46" s="70" t="s">
        <v>261</v>
      </c>
      <c r="M46" s="110"/>
      <c r="N46" s="110"/>
    </row>
    <row r="47" spans="1:14" ht="15.75">
      <c r="A47" s="70"/>
      <c r="B47" s="70"/>
      <c r="C47" s="70"/>
      <c r="D47" s="70"/>
      <c r="E47" s="70"/>
      <c r="F47" s="70"/>
      <c r="G47" s="70"/>
      <c r="H47" s="70"/>
      <c r="I47" s="187">
        <f>SUM('Man. Bal.'!K30:'Man. Bal.'!K39)</f>
        <v>21788.4</v>
      </c>
      <c r="J47" s="187">
        <f>SUM('Man. Bal.'!L30:'Man. Bal.'!L39)</f>
        <v>11458.2</v>
      </c>
      <c r="K47" s="187">
        <f>SUM('Man. Bal.'!M30:'Man. Bal.'!M39)</f>
        <v>39990</v>
      </c>
      <c r="L47" s="70" t="s">
        <v>262</v>
      </c>
      <c r="M47" s="110"/>
      <c r="N47" s="110"/>
    </row>
    <row r="48" spans="1:14" ht="15.75">
      <c r="A48" s="70"/>
      <c r="B48" s="70"/>
      <c r="C48" s="70"/>
      <c r="D48" s="70"/>
      <c r="E48" s="70"/>
      <c r="F48" s="70"/>
      <c r="G48" s="70"/>
      <c r="H48" s="70"/>
      <c r="I48" s="187">
        <f>'Graz. Nut.'!I46-'Graz. Nut.'!I47</f>
        <v>-20059.214916</v>
      </c>
      <c r="J48" s="187">
        <f>'Graz. Nut.'!J46-'Graz. Nut.'!J47</f>
        <v>-10590.069000000001</v>
      </c>
      <c r="K48" s="187">
        <f>'Graz. Nut.'!K46-'Graz. Nut.'!K47</f>
        <v>-37051.053</v>
      </c>
      <c r="L48" s="70" t="s">
        <v>263</v>
      </c>
      <c r="M48" s="110"/>
      <c r="N48" s="1"/>
    </row>
  </sheetData>
  <sheetProtection password="CF3F" sheet="1" objects="1" scenarios="1"/>
  <mergeCells count="4">
    <mergeCell ref="H5:I5"/>
    <mergeCell ref="H6:I6"/>
    <mergeCell ref="H7:I7"/>
    <mergeCell ref="H4:J4"/>
  </mergeCells>
  <dataValidations count="1">
    <dataValidation type="list" allowBlank="1" showInputMessage="1" showErrorMessage="1" sqref="A19:A28">
      <formula1>$U$3:$U$22</formula1>
    </dataValidation>
  </dataValidations>
  <printOptions horizontalCentered="1" verticalCentered="1"/>
  <pageMargins left="0.5" right="0.5" top="1" bottom="1" header="0.5" footer="0.5"/>
  <pageSetup horizontalDpi="300" verticalDpi="300" orientation="portrait" scale="90" r:id="rId1"/>
  <headerFooter alignWithMargins="0">
    <oddHeader>&amp;C&amp;"Times New Roman,Bold"&amp;12USDA NATURAL RESOURCES CONSERVATION SERVICE</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X178"/>
  <sheetViews>
    <sheetView showGridLines="0" showZeros="0" zoomScale="75" zoomScaleNormal="75" workbookViewId="0" topLeftCell="A1">
      <selection activeCell="C2" sqref="C2:F2"/>
    </sheetView>
  </sheetViews>
  <sheetFormatPr defaultColWidth="9.140625" defaultRowHeight="12.75"/>
  <cols>
    <col min="1" max="1" width="12.421875" style="1" customWidth="1"/>
    <col min="2" max="2" width="7.7109375" style="1" customWidth="1"/>
    <col min="3" max="4" width="7.28125" style="1" customWidth="1"/>
    <col min="5" max="5" width="8.140625" style="1" customWidth="1"/>
    <col min="6" max="7" width="8.28125" style="1" customWidth="1"/>
    <col min="8" max="8" width="8.7109375" style="1" customWidth="1"/>
    <col min="9" max="9" width="9.57421875" style="1" customWidth="1"/>
    <col min="10" max="15" width="9.28125" style="1" customWidth="1"/>
    <col min="16" max="17" width="9.7109375" style="1" customWidth="1"/>
    <col min="18" max="23" width="14.7109375" style="1" customWidth="1"/>
    <col min="24" max="32" width="10.28125" style="1" customWidth="1"/>
    <col min="33" max="33" width="13.140625" style="1" customWidth="1"/>
    <col min="34" max="16384" width="10.28125" style="1" customWidth="1"/>
  </cols>
  <sheetData>
    <row r="1" spans="1:50" ht="20.25">
      <c r="A1" s="24" t="s">
        <v>495</v>
      </c>
      <c r="B1" s="744" t="s">
        <v>416</v>
      </c>
      <c r="C1" s="744"/>
      <c r="D1" s="744"/>
      <c r="E1" s="744"/>
      <c r="F1" s="744"/>
      <c r="G1" s="744"/>
      <c r="H1" s="744"/>
      <c r="I1" s="744"/>
      <c r="J1" s="744"/>
      <c r="K1" s="34" t="s">
        <v>1</v>
      </c>
      <c r="L1" s="22"/>
      <c r="M1" s="769" t="s">
        <v>494</v>
      </c>
      <c r="N1" s="769"/>
      <c r="P1"/>
      <c r="Q1" s="406"/>
      <c r="R1" s="25"/>
      <c r="S1" s="25"/>
      <c r="T1" s="25"/>
      <c r="U1" s="25"/>
      <c r="V1" s="25"/>
      <c r="W1" s="25"/>
      <c r="X1" s="25"/>
      <c r="Y1" s="25"/>
      <c r="Z1" s="408" t="s">
        <v>446</v>
      </c>
      <c r="AA1"/>
      <c r="AB1" s="25"/>
      <c r="AC1" s="25"/>
      <c r="AD1" s="25"/>
      <c r="AE1" s="19" t="s">
        <v>4</v>
      </c>
      <c r="AF1" s="19" t="s">
        <v>4</v>
      </c>
      <c r="AG1" s="407"/>
      <c r="AH1" s="408"/>
      <c r="AI1" s="408"/>
      <c r="AJ1" s="408"/>
      <c r="AK1" s="408"/>
      <c r="AL1" s="408"/>
      <c r="AO1"/>
      <c r="AP1"/>
      <c r="AQ1"/>
      <c r="AR1"/>
      <c r="AT1" s="409"/>
      <c r="AU1" s="409"/>
      <c r="AV1" s="409"/>
      <c r="AW1" s="409"/>
      <c r="AX1" s="19"/>
    </row>
    <row r="2" spans="1:50" ht="15.75" customHeight="1">
      <c r="A2" s="19"/>
      <c r="B2" s="35" t="s">
        <v>2</v>
      </c>
      <c r="C2" s="769" t="s">
        <v>3</v>
      </c>
      <c r="D2" s="769"/>
      <c r="E2" s="769"/>
      <c r="F2" s="769"/>
      <c r="L2" s="24" t="s">
        <v>5</v>
      </c>
      <c r="M2" s="774">
        <f ca="1">TODAY()</f>
        <v>38737</v>
      </c>
      <c r="N2" s="774"/>
      <c r="O2" s="410"/>
      <c r="P2"/>
      <c r="Q2" s="411"/>
      <c r="R2"/>
      <c r="S2"/>
      <c r="T2"/>
      <c r="U2"/>
      <c r="V2"/>
      <c r="W2"/>
      <c r="X2"/>
      <c r="Y2"/>
      <c r="Z2"/>
      <c r="AA2"/>
      <c r="AB2"/>
      <c r="AC2"/>
      <c r="AD2" s="19"/>
      <c r="AE2" s="19"/>
      <c r="AF2" s="19"/>
      <c r="AG2" s="407"/>
      <c r="AH2" s="407"/>
      <c r="AI2" s="407"/>
      <c r="AJ2" s="407"/>
      <c r="AK2" s="407"/>
      <c r="AL2" s="27"/>
      <c r="AO2"/>
      <c r="AP2"/>
      <c r="AQ2"/>
      <c r="AR2"/>
      <c r="AT2" s="19"/>
      <c r="AV2" s="19"/>
      <c r="AW2" s="19"/>
      <c r="AX2" s="19"/>
    </row>
    <row r="3" spans="1:50" ht="15.75" customHeight="1">
      <c r="A3" s="33"/>
      <c r="B3" s="35" t="s">
        <v>6</v>
      </c>
      <c r="C3" s="769" t="s">
        <v>7</v>
      </c>
      <c r="D3" s="769"/>
      <c r="E3" s="769"/>
      <c r="F3" s="298"/>
      <c r="G3" s="299" t="s">
        <v>8</v>
      </c>
      <c r="H3" s="769" t="s">
        <v>409</v>
      </c>
      <c r="I3" s="769"/>
      <c r="J3" s="769"/>
      <c r="K3" s="769"/>
      <c r="L3" s="36" t="s">
        <v>10</v>
      </c>
      <c r="M3" s="778" t="s">
        <v>11</v>
      </c>
      <c r="N3" s="778"/>
      <c r="O3" s="412"/>
      <c r="P3"/>
      <c r="Q3" s="411"/>
      <c r="R3"/>
      <c r="S3"/>
      <c r="T3"/>
      <c r="U3"/>
      <c r="V3"/>
      <c r="W3"/>
      <c r="X3"/>
      <c r="Y3"/>
      <c r="Z3" s="618">
        <v>0</v>
      </c>
      <c r="AA3" s="624">
        <v>0</v>
      </c>
      <c r="AB3"/>
      <c r="AC3" s="641">
        <v>0</v>
      </c>
      <c r="AD3" s="235"/>
      <c r="AF3" s="618">
        <v>0</v>
      </c>
      <c r="AG3" s="619"/>
      <c r="AH3" s="407"/>
      <c r="AI3" s="407"/>
      <c r="AJ3" s="407"/>
      <c r="AK3" s="413"/>
      <c r="AL3" s="27"/>
      <c r="AO3"/>
      <c r="AP3"/>
      <c r="AQ3"/>
      <c r="AR3"/>
      <c r="AV3" s="19"/>
      <c r="AW3" s="19"/>
      <c r="AX3" s="19"/>
    </row>
    <row r="4" spans="1:50" ht="15.75" customHeight="1">
      <c r="A4" s="87"/>
      <c r="P4"/>
      <c r="Q4" s="19"/>
      <c r="R4"/>
      <c r="S4"/>
      <c r="T4"/>
      <c r="U4"/>
      <c r="V4"/>
      <c r="W4"/>
      <c r="X4"/>
      <c r="Y4"/>
      <c r="Z4" s="509" t="s">
        <v>31</v>
      </c>
      <c r="AA4" s="620"/>
      <c r="AB4"/>
      <c r="AC4" s="301" t="s">
        <v>320</v>
      </c>
      <c r="AD4" s="220"/>
      <c r="AF4" s="728" t="s">
        <v>64</v>
      </c>
      <c r="AG4" s="619"/>
      <c r="AH4" s="414"/>
      <c r="AI4" s="414"/>
      <c r="AJ4" s="414"/>
      <c r="AK4" s="415"/>
      <c r="AL4" s="416"/>
      <c r="AO4"/>
      <c r="AP4"/>
      <c r="AQ4"/>
      <c r="AR4"/>
      <c r="AT4" s="19"/>
      <c r="AU4" s="19"/>
      <c r="AX4" s="19"/>
    </row>
    <row r="5" spans="1:50" ht="15.75" customHeight="1">
      <c r="A5" s="202" t="s">
        <v>12</v>
      </c>
      <c r="B5" s="159" t="s">
        <v>13</v>
      </c>
      <c r="C5" s="161"/>
      <c r="D5" s="161"/>
      <c r="E5" s="417"/>
      <c r="F5" s="418"/>
      <c r="G5" s="419"/>
      <c r="H5" s="567" t="s">
        <v>360</v>
      </c>
      <c r="I5" s="577" t="s">
        <v>361</v>
      </c>
      <c r="J5" s="420"/>
      <c r="K5" s="421" t="s">
        <v>362</v>
      </c>
      <c r="L5" s="419"/>
      <c r="M5" s="203"/>
      <c r="N5" s="422"/>
      <c r="O5" s="422"/>
      <c r="P5"/>
      <c r="Q5" s="19"/>
      <c r="R5"/>
      <c r="S5"/>
      <c r="T5"/>
      <c r="U5"/>
      <c r="V5"/>
      <c r="W5"/>
      <c r="X5"/>
      <c r="Y5"/>
      <c r="Z5" s="618" t="s">
        <v>472</v>
      </c>
      <c r="AA5" s="619"/>
      <c r="AB5"/>
      <c r="AC5" s="302" t="s">
        <v>442</v>
      </c>
      <c r="AD5" s="28"/>
      <c r="AF5" s="728" t="s">
        <v>208</v>
      </c>
      <c r="AG5" s="619"/>
      <c r="AH5" s="414"/>
      <c r="AI5" s="414"/>
      <c r="AJ5" s="414"/>
      <c r="AK5" s="415"/>
      <c r="AL5" s="416"/>
      <c r="AO5"/>
      <c r="AP5"/>
      <c r="AQ5"/>
      <c r="AR5"/>
      <c r="AV5" s="19"/>
      <c r="AW5" s="19"/>
      <c r="AX5" s="19"/>
    </row>
    <row r="6" spans="1:42" ht="15.75">
      <c r="A6" s="204" t="s">
        <v>15</v>
      </c>
      <c r="B6" s="202" t="s">
        <v>16</v>
      </c>
      <c r="C6" s="420" t="s">
        <v>17</v>
      </c>
      <c r="D6" s="423" t="s">
        <v>18</v>
      </c>
      <c r="E6" s="424" t="s">
        <v>19</v>
      </c>
      <c r="F6" s="425" t="s">
        <v>20</v>
      </c>
      <c r="G6" s="109" t="s">
        <v>21</v>
      </c>
      <c r="H6" s="573" t="s">
        <v>363</v>
      </c>
      <c r="I6" s="578" t="s">
        <v>364</v>
      </c>
      <c r="J6" s="425" t="s">
        <v>118</v>
      </c>
      <c r="K6" s="426"/>
      <c r="L6" s="427" t="s">
        <v>365</v>
      </c>
      <c r="M6" s="428"/>
      <c r="N6" s="422"/>
      <c r="O6" s="422"/>
      <c r="P6"/>
      <c r="Q6" s="19"/>
      <c r="R6"/>
      <c r="S6"/>
      <c r="T6"/>
      <c r="U6"/>
      <c r="V6"/>
      <c r="W6"/>
      <c r="X6"/>
      <c r="Y6"/>
      <c r="Z6" s="618" t="s">
        <v>32</v>
      </c>
      <c r="AA6" s="619"/>
      <c r="AB6"/>
      <c r="AC6" s="302" t="s">
        <v>443</v>
      </c>
      <c r="AD6" s="28"/>
      <c r="AF6" s="728" t="s">
        <v>310</v>
      </c>
      <c r="AG6" s="619"/>
      <c r="AH6" s="414"/>
      <c r="AI6" s="414"/>
      <c r="AJ6" s="414"/>
      <c r="AK6" s="415"/>
      <c r="AL6" s="416"/>
      <c r="AN6" s="429"/>
      <c r="AO6" s="24"/>
      <c r="AP6" s="24"/>
    </row>
    <row r="7" spans="1:38" ht="15.75">
      <c r="A7" s="426" t="s">
        <v>20</v>
      </c>
      <c r="B7" s="426" t="s">
        <v>25</v>
      </c>
      <c r="C7" s="430" t="s">
        <v>25</v>
      </c>
      <c r="D7" s="428" t="s">
        <v>25</v>
      </c>
      <c r="E7" s="427" t="s">
        <v>26</v>
      </c>
      <c r="F7" s="430" t="s">
        <v>27</v>
      </c>
      <c r="G7" s="427"/>
      <c r="H7" s="568" t="s">
        <v>366</v>
      </c>
      <c r="I7" s="568" t="s">
        <v>367</v>
      </c>
      <c r="J7" s="430" t="s">
        <v>90</v>
      </c>
      <c r="K7" s="426" t="s">
        <v>16</v>
      </c>
      <c r="L7" s="431" t="s">
        <v>17</v>
      </c>
      <c r="M7" s="432" t="s">
        <v>18</v>
      </c>
      <c r="N7" s="422"/>
      <c r="O7" s="422"/>
      <c r="P7"/>
      <c r="R7" s="433" t="s">
        <v>368</v>
      </c>
      <c r="S7" s="434" t="s">
        <v>417</v>
      </c>
      <c r="T7" s="434" t="s">
        <v>369</v>
      </c>
      <c r="U7" s="434" t="s">
        <v>370</v>
      </c>
      <c r="V7" s="434" t="s">
        <v>371</v>
      </c>
      <c r="W7" s="434" t="s">
        <v>372</v>
      </c>
      <c r="X7"/>
      <c r="Y7"/>
      <c r="Z7" s="618" t="s">
        <v>29</v>
      </c>
      <c r="AA7" s="619"/>
      <c r="AB7"/>
      <c r="AC7" s="302" t="s">
        <v>444</v>
      </c>
      <c r="AD7" s="28"/>
      <c r="AF7" s="728" t="s">
        <v>209</v>
      </c>
      <c r="AG7" s="619"/>
      <c r="AH7" s="414"/>
      <c r="AI7" s="414"/>
      <c r="AJ7" s="414"/>
      <c r="AK7" s="415"/>
      <c r="AL7" s="416"/>
    </row>
    <row r="8" spans="1:38" ht="15.75">
      <c r="A8" s="95" t="s">
        <v>28</v>
      </c>
      <c r="B8" s="370">
        <f>IF(A8=" "," ",VLOOKUP($A8,'Dry Prod. Values'!$A$4:$G$23,2,TRUE))</f>
        <v>0.45</v>
      </c>
      <c r="C8" s="370">
        <f>IF(A8=" "," ",VLOOKUP($A8,'Dry Prod. Values'!$A$4:$G$23,3,TRUE))</f>
        <v>0.16</v>
      </c>
      <c r="D8" s="370">
        <f>IF(A8=" "," ",VLOOKUP($A8,'Dry Prod. Values'!$A$4:$G$23,4,TRUE))</f>
        <v>0.31</v>
      </c>
      <c r="E8" s="370">
        <f>IF(A8=" "," ",VLOOKUP($A8,'Dry Prod. Values'!$A$4:$G$23,5,TRUE))</f>
        <v>1.29</v>
      </c>
      <c r="F8" s="435">
        <v>107</v>
      </c>
      <c r="G8" s="436">
        <v>1.4</v>
      </c>
      <c r="H8" s="437">
        <v>365</v>
      </c>
      <c r="I8" s="438">
        <v>0.05</v>
      </c>
      <c r="J8" s="439">
        <v>0.88</v>
      </c>
      <c r="K8" s="178">
        <f>(B8*$F8*$G8*$H8*$I8)*($C$27*$C$28*$C$29*$C$30)</f>
        <v>395.14821853500007</v>
      </c>
      <c r="L8" s="178">
        <f>(C8*$F8*$G8*$H8*I8)*($D$27*$D$28*$D$29*$D$30)</f>
        <v>165.343248</v>
      </c>
      <c r="M8" s="179">
        <f>(D8*$F8*$G8*$H8*I8)*($E$27*$E$28*$E$29*$E$30)</f>
        <v>449.2563043500001</v>
      </c>
      <c r="N8" s="422"/>
      <c r="O8" s="422"/>
      <c r="P8"/>
      <c r="R8" s="440"/>
      <c r="S8" s="441">
        <f>E8*F8*G8*H8*I8</f>
        <v>3526.6665000000003</v>
      </c>
      <c r="T8" s="441">
        <f>S8*7.48</f>
        <v>26379.465420000004</v>
      </c>
      <c r="U8" s="442" t="s">
        <v>4</v>
      </c>
      <c r="V8" s="441">
        <f>T8*$J8</f>
        <v>23213.929569600004</v>
      </c>
      <c r="W8" s="443">
        <f>T8-V8</f>
        <v>3165.5358503999996</v>
      </c>
      <c r="X8"/>
      <c r="Y8"/>
      <c r="Z8" s="618" t="s">
        <v>28</v>
      </c>
      <c r="AA8" s="619"/>
      <c r="AB8"/>
      <c r="AC8" s="302" t="s">
        <v>445</v>
      </c>
      <c r="AD8" s="639"/>
      <c r="AF8" s="728" t="s">
        <v>496</v>
      </c>
      <c r="AG8" s="619"/>
      <c r="AH8" s="414"/>
      <c r="AI8" s="414"/>
      <c r="AJ8" s="414"/>
      <c r="AK8" s="415"/>
      <c r="AL8" s="416"/>
    </row>
    <row r="9" spans="1:38" ht="15.75">
      <c r="A9" s="95">
        <v>0</v>
      </c>
      <c r="B9" s="370">
        <f>IF(A9=" "," ",VLOOKUP($A9,'Dry Prod. Values'!$A$4:$G$23,2,TRUE))</f>
        <v>0</v>
      </c>
      <c r="C9" s="370">
        <f>IF(A9=" "," ",VLOOKUP($A9,'Dry Prod. Values'!$A$4:$G$23,3,TRUE))</f>
        <v>0</v>
      </c>
      <c r="D9" s="370">
        <f>IF(A9=" "," ",VLOOKUP($A9,'Dry Prod. Values'!$A$4:$G$23,4,TRUE))</f>
        <v>0</v>
      </c>
      <c r="E9" s="370">
        <f>IF(A9=" "," ",VLOOKUP($A9,'Dry Prod. Values'!$A$4:$G$23,5,TRUE))</f>
        <v>0</v>
      </c>
      <c r="F9" s="435">
        <v>0</v>
      </c>
      <c r="G9" s="436">
        <v>0</v>
      </c>
      <c r="H9" s="444">
        <v>0</v>
      </c>
      <c r="I9" s="445">
        <v>0</v>
      </c>
      <c r="J9" s="445">
        <v>0</v>
      </c>
      <c r="K9" s="178">
        <f>(B9*$F9*$G9*$H9*$I9)*($C$27*$C$28*$C$29*$C$30)</f>
        <v>0</v>
      </c>
      <c r="L9" s="178">
        <f>(C9*$F9*$G9*$H9*I9)*($D$27*$D$28*$D$29*$D$30)</f>
        <v>0</v>
      </c>
      <c r="M9" s="179">
        <f>(D9*$F9*$G9*$H9*I9)*($E$27*$E$28*$E$29*$E$30)</f>
        <v>0</v>
      </c>
      <c r="N9" s="422"/>
      <c r="O9" s="422"/>
      <c r="P9"/>
      <c r="R9" s="446"/>
      <c r="S9" s="441">
        <f>E9*F9*G9*H9*I9</f>
        <v>0</v>
      </c>
      <c r="T9" s="441">
        <f>S9*7.48</f>
        <v>0</v>
      </c>
      <c r="U9" s="442" t="s">
        <v>4</v>
      </c>
      <c r="V9" s="441">
        <f>T9*$J9</f>
        <v>0</v>
      </c>
      <c r="W9" s="443">
        <f>T9-V9</f>
        <v>0</v>
      </c>
      <c r="X9"/>
      <c r="Y9"/>
      <c r="Z9" s="618" t="s">
        <v>92</v>
      </c>
      <c r="AA9" s="619"/>
      <c r="AB9"/>
      <c r="AC9" s="253" t="s">
        <v>325</v>
      </c>
      <c r="AD9" s="639"/>
      <c r="AF9" s="729" t="s">
        <v>307</v>
      </c>
      <c r="AG9" s="619"/>
      <c r="AH9" s="414"/>
      <c r="AI9" s="414"/>
      <c r="AJ9" s="414"/>
      <c r="AK9" s="415"/>
      <c r="AL9" s="416"/>
    </row>
    <row r="10" spans="1:38" ht="15.75">
      <c r="A10" s="95">
        <v>0</v>
      </c>
      <c r="B10" s="370">
        <f>IF(A10=" "," ",VLOOKUP($A10,'Dry Prod. Values'!$A$4:$G$23,2,TRUE))</f>
        <v>0</v>
      </c>
      <c r="C10" s="370">
        <f>IF(A10=" "," ",VLOOKUP($A10,'Dry Prod. Values'!$A$4:$G$23,3,TRUE))</f>
        <v>0</v>
      </c>
      <c r="D10" s="370">
        <f>IF(A10=" "," ",VLOOKUP($A10,'Dry Prod. Values'!$A$4:$G$23,4,TRUE))</f>
        <v>0</v>
      </c>
      <c r="E10" s="370">
        <f>IF(A10=" "," ",VLOOKUP($A10,'Dry Prod. Values'!$A$4:$G$23,5,TRUE))</f>
        <v>0</v>
      </c>
      <c r="F10" s="435">
        <v>0</v>
      </c>
      <c r="G10" s="436">
        <v>0</v>
      </c>
      <c r="H10" s="444">
        <v>0</v>
      </c>
      <c r="I10" s="445">
        <v>0</v>
      </c>
      <c r="J10" s="445">
        <v>0</v>
      </c>
      <c r="K10" s="178">
        <f>(B10*$F10*$G10*$H10*$I10)*($C$27*$C$28*$C$29*$C$30)</f>
        <v>0</v>
      </c>
      <c r="L10" s="178">
        <f>(C10*$F10*$G10*$H10*I10)*($D$27*$D$28*$D$29*$D$30)</f>
        <v>0</v>
      </c>
      <c r="M10" s="179">
        <f>(D10*$F10*$G10*$H10*I10)*($E$27*$E$28*$E$29*$E$30)</f>
        <v>0</v>
      </c>
      <c r="N10" s="422"/>
      <c r="O10" s="422"/>
      <c r="P10"/>
      <c r="R10" s="446"/>
      <c r="S10" s="441"/>
      <c r="T10" s="441"/>
      <c r="U10" s="442"/>
      <c r="V10" s="441"/>
      <c r="W10" s="443"/>
      <c r="X10"/>
      <c r="Y10"/>
      <c r="Z10" s="618" t="s">
        <v>93</v>
      </c>
      <c r="AA10" s="619"/>
      <c r="AB10"/>
      <c r="AC10" s="253" t="s">
        <v>324</v>
      </c>
      <c r="AD10" s="639"/>
      <c r="AF10" s="728" t="s">
        <v>497</v>
      </c>
      <c r="AG10" s="619"/>
      <c r="AH10" s="414"/>
      <c r="AI10" s="414"/>
      <c r="AJ10" s="414"/>
      <c r="AK10" s="415"/>
      <c r="AL10" s="416"/>
    </row>
    <row r="11" spans="1:38" ht="15.75">
      <c r="A11" s="95">
        <v>0</v>
      </c>
      <c r="B11" s="370">
        <f>IF(A11=" "," ",VLOOKUP($A11,'Dry Prod. Values'!$A$4:$G$23,2,TRUE))</f>
        <v>0</v>
      </c>
      <c r="C11" s="370">
        <f>IF(A11=" "," ",VLOOKUP($A11,'Dry Prod. Values'!$A$4:$G$23,3,TRUE))</f>
        <v>0</v>
      </c>
      <c r="D11" s="370">
        <f>IF(A11=" "," ",VLOOKUP($A11,'Dry Prod. Values'!$A$4:$G$23,4,TRUE))</f>
        <v>0</v>
      </c>
      <c r="E11" s="370">
        <f>IF(A11=" "," ",VLOOKUP($A11,'Dry Prod. Values'!$A$4:$G$23,5,TRUE))</f>
        <v>0</v>
      </c>
      <c r="F11" s="435">
        <v>0</v>
      </c>
      <c r="G11" s="436">
        <v>0</v>
      </c>
      <c r="H11" s="444">
        <v>0</v>
      </c>
      <c r="I11" s="445">
        <v>0</v>
      </c>
      <c r="J11" s="445">
        <v>0</v>
      </c>
      <c r="K11" s="178">
        <f>(B11*$F11*$G11*$H11*$I11)*($C$27*$C$28*$C$29*$C$30)</f>
        <v>0</v>
      </c>
      <c r="L11" s="178">
        <f>(C11*$F11*$G11*$H11*I11)*($D$27*$D$28*$D$29*$D$30)</f>
        <v>0</v>
      </c>
      <c r="M11" s="179">
        <f>(D11*$F11*$G11*$H11*I11)*($E$27*$E$28*$E$29*$E$30)</f>
        <v>0</v>
      </c>
      <c r="N11" s="422"/>
      <c r="O11" s="422"/>
      <c r="P11"/>
      <c r="R11" s="446"/>
      <c r="S11" s="441">
        <f>E11*F11*G11*H11*I11</f>
        <v>0</v>
      </c>
      <c r="T11" s="441">
        <f>S11*7.48</f>
        <v>0</v>
      </c>
      <c r="U11" s="442" t="s">
        <v>4</v>
      </c>
      <c r="V11" s="441">
        <f>T11*$J11</f>
        <v>0</v>
      </c>
      <c r="W11" s="443">
        <f>T11-V11</f>
        <v>0</v>
      </c>
      <c r="X11"/>
      <c r="Y11"/>
      <c r="Z11" s="618" t="s">
        <v>30</v>
      </c>
      <c r="AA11" s="619"/>
      <c r="AB11"/>
      <c r="AC11" s="302" t="s">
        <v>333</v>
      </c>
      <c r="AD11" s="28"/>
      <c r="AF11" s="728" t="s">
        <v>498</v>
      </c>
      <c r="AG11" s="619"/>
      <c r="AH11" s="414"/>
      <c r="AI11" s="414"/>
      <c r="AJ11" s="414"/>
      <c r="AK11" s="415"/>
      <c r="AL11" s="416"/>
    </row>
    <row r="12" spans="1:38" ht="15.75">
      <c r="A12" s="95">
        <v>0</v>
      </c>
      <c r="B12" s="370">
        <f>IF(A12=" "," ",VLOOKUP($A12,'Dry Prod. Values'!$A$4:$G$23,2,TRUE))</f>
        <v>0</v>
      </c>
      <c r="C12" s="370">
        <f>IF(A12=" "," ",VLOOKUP($A12,'Dry Prod. Values'!$A$4:$G$23,3,TRUE))</f>
        <v>0</v>
      </c>
      <c r="D12" s="370">
        <f>IF(A12=" "," ",VLOOKUP($A12,'Dry Prod. Values'!$A$4:$G$23,4,TRUE))</f>
        <v>0</v>
      </c>
      <c r="E12" s="370">
        <f>IF(A12=" "," ",VLOOKUP($A12,'Dry Prod. Values'!$A$4:$G$23,5,TRUE))</f>
        <v>0</v>
      </c>
      <c r="F12" s="447"/>
      <c r="G12" s="448"/>
      <c r="H12" s="449">
        <v>0</v>
      </c>
      <c r="I12" s="450">
        <v>0</v>
      </c>
      <c r="J12" s="451"/>
      <c r="K12" s="178">
        <f>(B12*$F12*$G12*$H12*$I12)*($C$27*$C$28*$C$29*$C$30)</f>
        <v>0</v>
      </c>
      <c r="L12" s="178">
        <f>(C12*$F12*$G12*$H12*I12)*($D$27*$D$28*$D$29*$D$30)</f>
        <v>0</v>
      </c>
      <c r="M12" s="179">
        <f>(D12*$F12*$G12*$H12*I12)*($E$27*$E$28*$E$29*$E$30)</f>
        <v>0</v>
      </c>
      <c r="N12" s="422"/>
      <c r="O12" s="422"/>
      <c r="P12"/>
      <c r="R12" s="446"/>
      <c r="S12" s="441">
        <f>E12*F12*G12*H12*I12</f>
        <v>0</v>
      </c>
      <c r="T12" s="441">
        <f>S12*7.48</f>
        <v>0</v>
      </c>
      <c r="U12" s="442" t="s">
        <v>4</v>
      </c>
      <c r="V12" s="441">
        <f>T12*$J12</f>
        <v>0</v>
      </c>
      <c r="W12" s="443">
        <f>T12-V12</f>
        <v>0</v>
      </c>
      <c r="X12"/>
      <c r="Y12"/>
      <c r="Z12" s="618" t="s">
        <v>33</v>
      </c>
      <c r="AA12" s="619"/>
      <c r="AB12"/>
      <c r="AC12" s="302" t="s">
        <v>332</v>
      </c>
      <c r="AD12" s="28"/>
      <c r="AF12" s="728" t="s">
        <v>471</v>
      </c>
      <c r="AG12" s="619"/>
      <c r="AH12" s="414"/>
      <c r="AI12" s="414"/>
      <c r="AJ12" s="414"/>
      <c r="AK12" s="415"/>
      <c r="AL12" s="416"/>
    </row>
    <row r="13" spans="1:38" ht="15.75">
      <c r="A13" s="452" t="s">
        <v>12</v>
      </c>
      <c r="B13" s="453" t="s">
        <v>373</v>
      </c>
      <c r="C13" s="454"/>
      <c r="D13" s="454"/>
      <c r="E13" s="454"/>
      <c r="F13" s="452"/>
      <c r="G13" s="452"/>
      <c r="H13" s="574" t="s">
        <v>360</v>
      </c>
      <c r="I13" s="455" t="s">
        <v>374</v>
      </c>
      <c r="J13" s="420"/>
      <c r="K13" s="456" t="s">
        <v>362</v>
      </c>
      <c r="L13" s="457"/>
      <c r="M13" s="458"/>
      <c r="N13" s="422"/>
      <c r="O13" s="422"/>
      <c r="P13"/>
      <c r="R13" s="459"/>
      <c r="S13" s="460"/>
      <c r="T13" s="461"/>
      <c r="U13" s="460"/>
      <c r="V13" s="462"/>
      <c r="W13" s="463"/>
      <c r="X13"/>
      <c r="Y13"/>
      <c r="Z13" s="618" t="s">
        <v>94</v>
      </c>
      <c r="AA13" s="619"/>
      <c r="AB13"/>
      <c r="AC13" s="253" t="s">
        <v>326</v>
      </c>
      <c r="AD13" s="28"/>
      <c r="AF13" s="728" t="s">
        <v>210</v>
      </c>
      <c r="AG13" s="619"/>
      <c r="AH13" s="414"/>
      <c r="AI13" s="414"/>
      <c r="AJ13" s="414"/>
      <c r="AK13" s="415"/>
      <c r="AL13" s="416"/>
    </row>
    <row r="14" spans="1:38" ht="15.75">
      <c r="A14" s="425" t="s">
        <v>15</v>
      </c>
      <c r="B14" s="420" t="s">
        <v>16</v>
      </c>
      <c r="C14" s="420" t="s">
        <v>17</v>
      </c>
      <c r="D14" s="420" t="s">
        <v>18</v>
      </c>
      <c r="E14" s="109" t="s">
        <v>19</v>
      </c>
      <c r="F14" s="425" t="s">
        <v>20</v>
      </c>
      <c r="G14" s="425" t="s">
        <v>21</v>
      </c>
      <c r="H14" s="575" t="s">
        <v>363</v>
      </c>
      <c r="I14" s="464" t="s">
        <v>375</v>
      </c>
      <c r="J14" s="425" t="s">
        <v>118</v>
      </c>
      <c r="K14" s="215" t="s">
        <v>376</v>
      </c>
      <c r="L14" s="427"/>
      <c r="M14" s="428"/>
      <c r="N14" s="422"/>
      <c r="O14" s="422"/>
      <c r="P14"/>
      <c r="R14" s="465" t="s">
        <v>377</v>
      </c>
      <c r="S14" s="466">
        <f>SUM(S8:S12)</f>
        <v>3526.6665000000003</v>
      </c>
      <c r="T14" s="466">
        <f>SUM(T8:T12)</f>
        <v>26379.465420000004</v>
      </c>
      <c r="U14" s="467" t="s">
        <v>4</v>
      </c>
      <c r="V14" s="467">
        <f>SUM(V8:V12)</f>
        <v>23213.929569600004</v>
      </c>
      <c r="W14" s="467">
        <f>SUM(W8:W12)</f>
        <v>3165.5358503999996</v>
      </c>
      <c r="X14"/>
      <c r="Y14"/>
      <c r="Z14" s="618" t="s">
        <v>95</v>
      </c>
      <c r="AA14" s="619"/>
      <c r="AB14"/>
      <c r="AC14" s="302" t="s">
        <v>318</v>
      </c>
      <c r="AD14" s="639"/>
      <c r="AF14" s="728" t="s">
        <v>68</v>
      </c>
      <c r="AG14" s="619"/>
      <c r="AH14" s="414"/>
      <c r="AI14" s="414"/>
      <c r="AJ14" s="414"/>
      <c r="AK14" s="415"/>
      <c r="AL14" s="416"/>
    </row>
    <row r="15" spans="1:38" ht="15.75">
      <c r="A15" s="425" t="s">
        <v>313</v>
      </c>
      <c r="B15" s="468" t="s">
        <v>378</v>
      </c>
      <c r="C15" s="468" t="s">
        <v>378</v>
      </c>
      <c r="D15" s="468" t="s">
        <v>378</v>
      </c>
      <c r="E15" s="427" t="s">
        <v>26</v>
      </c>
      <c r="F15" s="430" t="s">
        <v>27</v>
      </c>
      <c r="G15" s="430"/>
      <c r="H15" s="576" t="s">
        <v>366</v>
      </c>
      <c r="I15" s="428" t="s">
        <v>379</v>
      </c>
      <c r="J15" s="430" t="s">
        <v>90</v>
      </c>
      <c r="K15" s="72" t="s">
        <v>16</v>
      </c>
      <c r="L15" s="72" t="s">
        <v>17</v>
      </c>
      <c r="M15" s="469" t="s">
        <v>18</v>
      </c>
      <c r="N15" s="422"/>
      <c r="O15" s="422"/>
      <c r="P15"/>
      <c r="R15" s="470"/>
      <c r="S15" s="471" t="s">
        <v>4</v>
      </c>
      <c r="T15" s="472" t="s">
        <v>4</v>
      </c>
      <c r="U15" s="473" t="s">
        <v>4</v>
      </c>
      <c r="V15" s="442"/>
      <c r="W15" s="474"/>
      <c r="X15"/>
      <c r="Y15"/>
      <c r="Z15" s="618" t="s">
        <v>96</v>
      </c>
      <c r="AA15" s="619"/>
      <c r="AB15"/>
      <c r="AC15" s="302" t="s">
        <v>319</v>
      </c>
      <c r="AD15" s="639"/>
      <c r="AF15" s="728" t="s">
        <v>499</v>
      </c>
      <c r="AG15" s="619"/>
      <c r="AH15" s="414"/>
      <c r="AI15" s="414"/>
      <c r="AJ15" s="414"/>
      <c r="AK15" s="415"/>
      <c r="AL15" s="416"/>
    </row>
    <row r="16" spans="1:38" ht="15.75">
      <c r="A16" s="644" t="s">
        <v>318</v>
      </c>
      <c r="B16" s="370">
        <f>IF(A16=" "," ",VLOOKUP($A16,'Wet Prod. Values'!$A$4:$G$24,3,TRUE))</f>
        <v>1.67</v>
      </c>
      <c r="C16" s="370">
        <f>IF(A16=" "," ",VLOOKUP($A16,'Wet Prod. Values'!$A$4:$G$24,4,TRUE))</f>
        <v>1.9</v>
      </c>
      <c r="D16" s="370">
        <f>IF(A16=" "," ",VLOOKUP($A16,'Wet Prod. Values'!$A$4:$G$24,5,TRUE))</f>
        <v>3.01</v>
      </c>
      <c r="E16" s="370">
        <f>IF(A16=" "," ",VLOOKUP($A16,'Wet Prod. Values'!$A$4:$G$24,6,TRUE))</f>
        <v>0.6</v>
      </c>
      <c r="F16" s="475">
        <v>107</v>
      </c>
      <c r="G16" s="476">
        <v>1.4</v>
      </c>
      <c r="H16" s="437">
        <v>365</v>
      </c>
      <c r="I16" s="477">
        <v>10</v>
      </c>
      <c r="J16" s="439">
        <v>0.99</v>
      </c>
      <c r="K16" s="478">
        <f>(B16*$F16*$H16*$I16/1000)*($C$27*$C$28*$C$29*$C$30)</f>
        <v>209.491277763</v>
      </c>
      <c r="L16" s="479">
        <f>(C16*$F16*$H16*$I16/1000)*($D$27*$D$28*$D$29*$D$30)</f>
        <v>280.49300999999997</v>
      </c>
      <c r="M16" s="480">
        <f>(D16*$F16*$H16*I16/1000)*($E$27*$E$28*$E$29*$E$30)</f>
        <v>623.16197055</v>
      </c>
      <c r="N16" s="422"/>
      <c r="P16"/>
      <c r="R16" s="481"/>
      <c r="S16" s="473" t="s">
        <v>4</v>
      </c>
      <c r="T16" s="442" t="s">
        <v>4</v>
      </c>
      <c r="U16" s="443">
        <f>F16*H16*I16</f>
        <v>390550</v>
      </c>
      <c r="V16" s="441">
        <f>U16*$J16</f>
        <v>386644.5</v>
      </c>
      <c r="W16" s="443">
        <f>U16-V16</f>
        <v>3905.5</v>
      </c>
      <c r="X16"/>
      <c r="Y16"/>
      <c r="Z16" s="618" t="s">
        <v>97</v>
      </c>
      <c r="AA16" s="619"/>
      <c r="AB16"/>
      <c r="AC16" s="302" t="s">
        <v>317</v>
      </c>
      <c r="AD16" s="639"/>
      <c r="AF16" s="728" t="s">
        <v>500</v>
      </c>
      <c r="AG16" s="619"/>
      <c r="AH16" s="414"/>
      <c r="AI16" s="414"/>
      <c r="AJ16" s="414"/>
      <c r="AK16" s="415"/>
      <c r="AL16" s="416"/>
    </row>
    <row r="17" spans="1:38" ht="15.75">
      <c r="A17" s="645">
        <v>0</v>
      </c>
      <c r="B17" s="642">
        <f>IF(A17=" "," ",VLOOKUP($A17,'Wet Prod. Values'!$A$4:$G$24,3,TRUE))</f>
        <v>0</v>
      </c>
      <c r="C17" s="370">
        <f>IF(A17=" "," ",VLOOKUP($A17,'Wet Prod. Values'!$A$4:$G$24,4,TRUE))</f>
        <v>0</v>
      </c>
      <c r="D17" s="370">
        <f>IF(A17=" "," ",VLOOKUP($A17,'Wet Prod. Values'!$A$4:$G$24,5,TRUE))</f>
        <v>0</v>
      </c>
      <c r="E17" s="370">
        <f>IF(A17=" "," ",VLOOKUP($A17,'Wet Prod. Values'!$A$4:$G$24,6,TRUE))</f>
        <v>0</v>
      </c>
      <c r="F17" s="435"/>
      <c r="G17" s="436"/>
      <c r="H17" s="444">
        <v>0</v>
      </c>
      <c r="I17" s="447">
        <v>0</v>
      </c>
      <c r="J17" s="445"/>
      <c r="K17" s="482">
        <f>(B17*$F17*$H17*$I17/1000)*($C$27*$C$28*$C$29*$C$30)</f>
        <v>0</v>
      </c>
      <c r="L17" s="483">
        <f>(C17*$F17*$H17*$I17/1000)*($D$27*$D$28*$D$29*$D$30)</f>
        <v>0</v>
      </c>
      <c r="M17" s="82">
        <f>(D17*$F17*$H17*I17/1000)*($E$27*$E$28*$E$29*$E$30)</f>
        <v>0</v>
      </c>
      <c r="N17" s="422"/>
      <c r="P17"/>
      <c r="R17" s="484"/>
      <c r="S17" s="442" t="s">
        <v>4</v>
      </c>
      <c r="T17" s="442" t="s">
        <v>4</v>
      </c>
      <c r="U17" s="441">
        <f>F17*H17*I17</f>
        <v>0</v>
      </c>
      <c r="V17" s="441">
        <f>U17*$J17</f>
        <v>0</v>
      </c>
      <c r="W17" s="443">
        <f>U17-V17</f>
        <v>0</v>
      </c>
      <c r="X17"/>
      <c r="Y17"/>
      <c r="Z17" s="618" t="s">
        <v>98</v>
      </c>
      <c r="AA17" s="619"/>
      <c r="AB17"/>
      <c r="AC17" s="253" t="s">
        <v>323</v>
      </c>
      <c r="AD17" s="639"/>
      <c r="AF17" s="728" t="s">
        <v>501</v>
      </c>
      <c r="AG17" s="619"/>
      <c r="AH17" s="414"/>
      <c r="AI17" s="414"/>
      <c r="AJ17" s="414"/>
      <c r="AK17" s="415"/>
      <c r="AL17" s="416"/>
    </row>
    <row r="18" spans="1:38" ht="15.75">
      <c r="A18" s="645">
        <v>0</v>
      </c>
      <c r="B18" s="642">
        <f>IF(A18=" "," ",VLOOKUP($A18,'Wet Prod. Values'!$A$4:$G$24,3,TRUE))</f>
        <v>0</v>
      </c>
      <c r="C18" s="370">
        <f>IF(A18=" "," ",VLOOKUP($A18,'Wet Prod. Values'!$A$4:$G$24,4,TRUE))</f>
        <v>0</v>
      </c>
      <c r="D18" s="370">
        <f>IF(A18=" "," ",VLOOKUP($A18,'Wet Prod. Values'!$A$4:$G$24,5,TRUE))</f>
        <v>0</v>
      </c>
      <c r="E18" s="370">
        <f>IF(A18=" "," ",VLOOKUP($A18,'Wet Prod. Values'!$A$4:$G$24,6,TRUE))</f>
        <v>0</v>
      </c>
      <c r="F18" s="435">
        <v>0</v>
      </c>
      <c r="G18" s="436">
        <v>0</v>
      </c>
      <c r="H18" s="444">
        <v>0</v>
      </c>
      <c r="I18" s="447">
        <v>0</v>
      </c>
      <c r="J18" s="445" t="s">
        <v>4</v>
      </c>
      <c r="K18" s="482">
        <f>(B18*$F18*$H18*$I18/1000)*($C$27*$C$28*$C$29*$C$30)</f>
        <v>0</v>
      </c>
      <c r="L18" s="483">
        <f>(C18*$F18*$H18*$I18/1000)*($D$27*$D$28*$D$29*$D$30)</f>
        <v>0</v>
      </c>
      <c r="M18" s="82">
        <f>(D18*$F18*$H18*I18/1000)*($E$27*$E$28*$E$29*$E$30)</f>
        <v>0</v>
      </c>
      <c r="N18" s="422"/>
      <c r="P18"/>
      <c r="R18" s="484"/>
      <c r="S18" s="442"/>
      <c r="T18" s="442"/>
      <c r="U18" s="441"/>
      <c r="V18" s="441"/>
      <c r="W18" s="443"/>
      <c r="X18"/>
      <c r="Y18"/>
      <c r="Z18" s="618" t="s">
        <v>99</v>
      </c>
      <c r="AA18" s="619"/>
      <c r="AB18"/>
      <c r="AC18" s="253" t="s">
        <v>322</v>
      </c>
      <c r="AD18" s="639"/>
      <c r="AF18" s="728" t="s">
        <v>502</v>
      </c>
      <c r="AG18" s="619"/>
      <c r="AH18" s="414"/>
      <c r="AI18" s="414"/>
      <c r="AJ18" s="414"/>
      <c r="AK18" s="415"/>
      <c r="AL18" s="416"/>
    </row>
    <row r="19" spans="1:38" ht="15.75">
      <c r="A19" s="645">
        <v>0</v>
      </c>
      <c r="B19" s="642">
        <f>IF(A19=" "," ",VLOOKUP($A19,'Wet Prod. Values'!$A$4:$G$24,3,TRUE))</f>
        <v>0</v>
      </c>
      <c r="C19" s="370">
        <f>IF(A19=" "," ",VLOOKUP($A19,'Wet Prod. Values'!$A$4:$G$24,4,TRUE))</f>
        <v>0</v>
      </c>
      <c r="D19" s="370">
        <f>IF(A19=" "," ",VLOOKUP($A19,'Wet Prod. Values'!$A$4:$G$24,5,TRUE))</f>
        <v>0</v>
      </c>
      <c r="E19" s="370">
        <f>IF(A19=" "," ",VLOOKUP($A19,'Wet Prod. Values'!$A$4:$G$24,6,TRUE))</f>
        <v>0</v>
      </c>
      <c r="F19" s="435">
        <v>0</v>
      </c>
      <c r="G19" s="436">
        <v>0</v>
      </c>
      <c r="H19" s="444">
        <v>0</v>
      </c>
      <c r="I19" s="447">
        <v>0</v>
      </c>
      <c r="J19" s="445"/>
      <c r="K19" s="482">
        <f>(B19*$F19*$H19*$I19/1000)*($C$27*$C$28*$C$29*$C$30)</f>
        <v>0</v>
      </c>
      <c r="L19" s="483">
        <f>(C19*$F19*$H19*$I19/1000)*($D$27*$D$28*$D$29*$D$30)</f>
        <v>0</v>
      </c>
      <c r="M19" s="82">
        <f>(D19*$F19*$H19*I19/1000)*($E$27*$E$28*$E$29*$E$30)</f>
        <v>0</v>
      </c>
      <c r="N19" s="422"/>
      <c r="P19"/>
      <c r="R19" s="484"/>
      <c r="S19" s="442" t="s">
        <v>4</v>
      </c>
      <c r="T19" s="442" t="s">
        <v>4</v>
      </c>
      <c r="U19" s="441">
        <f>F19*H19*I19</f>
        <v>0</v>
      </c>
      <c r="V19" s="441">
        <f>U19*$J19</f>
        <v>0</v>
      </c>
      <c r="W19" s="443">
        <f>U19-V19</f>
        <v>0</v>
      </c>
      <c r="X19" s="19"/>
      <c r="Y19" s="19"/>
      <c r="Z19" s="618" t="s">
        <v>100</v>
      </c>
      <c r="AA19" s="619"/>
      <c r="AB19" s="19"/>
      <c r="AC19" s="302" t="s">
        <v>335</v>
      </c>
      <c r="AD19" s="28"/>
      <c r="AF19" s="728" t="s">
        <v>66</v>
      </c>
      <c r="AG19" s="619"/>
      <c r="AH19" s="414"/>
      <c r="AI19" s="414"/>
      <c r="AJ19" s="414"/>
      <c r="AK19" s="415"/>
      <c r="AL19" s="416"/>
    </row>
    <row r="20" spans="1:38" ht="15.75">
      <c r="A20" s="626">
        <v>0</v>
      </c>
      <c r="B20" s="643">
        <f>IF(A20=" "," ",VLOOKUP($A20,'Wet Prod. Values'!$A$4:$G$24,3,TRUE))</f>
        <v>0</v>
      </c>
      <c r="C20" s="566">
        <f>IF(A20=" "," ",VLOOKUP($A20,'Wet Prod. Values'!$A$4:$G$24,4,TRUE))</f>
        <v>0</v>
      </c>
      <c r="D20" s="566">
        <f>IF(A20=" "," ",VLOOKUP($A20,'Wet Prod. Values'!$A$4:$G$24,5,TRUE))</f>
        <v>0</v>
      </c>
      <c r="E20" s="374">
        <f>IF(A20=" "," ",VLOOKUP($A20,'Wet Prod. Values'!$A$4:$G$24,6,TRUE))</f>
        <v>0</v>
      </c>
      <c r="F20" s="485">
        <v>0</v>
      </c>
      <c r="G20" s="486">
        <v>0</v>
      </c>
      <c r="H20" s="487">
        <v>0</v>
      </c>
      <c r="I20" s="487">
        <v>0</v>
      </c>
      <c r="J20" s="451"/>
      <c r="K20" s="488">
        <f>(B20*$F20*$H20*$I20/1000)*($C$27*$C$28*$C$29*$C$30)</f>
        <v>0</v>
      </c>
      <c r="L20" s="479">
        <f>(C20*$F20*$H20*$I20/1000)*($D$27*$D$28*$D$29*$D$30)</f>
        <v>0</v>
      </c>
      <c r="M20" s="480">
        <f>(D20*$F20*$H20*I20/1000)*($E$27*$E$28*$E$29*$E$30)</f>
        <v>0</v>
      </c>
      <c r="N20" s="422"/>
      <c r="P20"/>
      <c r="R20" s="489"/>
      <c r="S20" s="442" t="s">
        <v>4</v>
      </c>
      <c r="T20" s="442" t="s">
        <v>4</v>
      </c>
      <c r="U20" s="441">
        <f>F20*H20*I20</f>
        <v>0</v>
      </c>
      <c r="V20" s="441">
        <f>U20*$J20</f>
        <v>0</v>
      </c>
      <c r="W20" s="443">
        <f>U20-V20</f>
        <v>0</v>
      </c>
      <c r="X20" s="19"/>
      <c r="Y20" s="19"/>
      <c r="Z20" s="618" t="s">
        <v>101</v>
      </c>
      <c r="AA20" s="619"/>
      <c r="AB20" s="19"/>
      <c r="AC20" s="302" t="s">
        <v>334</v>
      </c>
      <c r="AD20" s="28"/>
      <c r="AF20" s="728" t="s">
        <v>67</v>
      </c>
      <c r="AG20" s="619"/>
      <c r="AH20" s="414"/>
      <c r="AI20" s="414"/>
      <c r="AJ20" s="414"/>
      <c r="AK20" s="415"/>
      <c r="AL20" s="416"/>
    </row>
    <row r="21" spans="1:38" ht="15.75">
      <c r="A21" s="87"/>
      <c r="B21" s="87"/>
      <c r="C21" s="87"/>
      <c r="D21" s="87"/>
      <c r="E21" s="69"/>
      <c r="F21" s="490"/>
      <c r="G21" s="422"/>
      <c r="H21" s="87"/>
      <c r="I21" s="422"/>
      <c r="J21" s="491" t="s">
        <v>380</v>
      </c>
      <c r="K21" s="492">
        <f>SUM(K8:K20)</f>
        <v>604.639496298</v>
      </c>
      <c r="L21" s="493">
        <f>SUM(L8:L20)</f>
        <v>445.83625799999993</v>
      </c>
      <c r="M21" s="494">
        <f>SUM(M8:M20)</f>
        <v>1072.4182749000001</v>
      </c>
      <c r="N21" s="87"/>
      <c r="P21" s="3"/>
      <c r="R21" s="495" t="s">
        <v>377</v>
      </c>
      <c r="S21" s="496"/>
      <c r="T21" s="497"/>
      <c r="U21" s="498">
        <f>SUM(U16:U20)</f>
        <v>390550</v>
      </c>
      <c r="V21" s="499">
        <f>SUM(V16:V20)</f>
        <v>386644.5</v>
      </c>
      <c r="W21" s="499">
        <f>SUM(W16:W20)</f>
        <v>3905.5</v>
      </c>
      <c r="X21" s="5"/>
      <c r="Y21" s="5"/>
      <c r="Z21" s="618" t="s">
        <v>102</v>
      </c>
      <c r="AA21" s="619"/>
      <c r="AB21" s="5"/>
      <c r="AC21" s="302" t="s">
        <v>328</v>
      </c>
      <c r="AD21" s="640"/>
      <c r="AF21" s="728" t="s">
        <v>305</v>
      </c>
      <c r="AG21" s="619"/>
      <c r="AH21" s="414"/>
      <c r="AI21" s="414"/>
      <c r="AJ21" s="414"/>
      <c r="AK21" s="415"/>
      <c r="AL21" s="416"/>
    </row>
    <row r="22" spans="1:38" ht="15.75">
      <c r="A22" s="422"/>
      <c r="B22" s="422"/>
      <c r="C22" s="422"/>
      <c r="D22" s="422"/>
      <c r="E22" s="422"/>
      <c r="F22" s="422"/>
      <c r="G22" s="422"/>
      <c r="H22" s="422"/>
      <c r="I22" s="422"/>
      <c r="J22" s="422"/>
      <c r="K22" s="422"/>
      <c r="L22" s="422"/>
      <c r="M22" s="422"/>
      <c r="N22" s="422"/>
      <c r="P22" s="3"/>
      <c r="R22" s="500" t="s">
        <v>381</v>
      </c>
      <c r="S22" s="501">
        <f>S14</f>
        <v>3526.6665000000003</v>
      </c>
      <c r="T22" s="501">
        <f>T14</f>
        <v>26379.465420000004</v>
      </c>
      <c r="U22" s="502">
        <f>U21</f>
        <v>390550</v>
      </c>
      <c r="V22" s="503">
        <f>V14+V21</f>
        <v>409858.42956960003</v>
      </c>
      <c r="W22" s="502">
        <f>W14+W21</f>
        <v>7071.0358504</v>
      </c>
      <c r="X22" s="19"/>
      <c r="Y22" s="5"/>
      <c r="Z22" s="618" t="s">
        <v>103</v>
      </c>
      <c r="AA22" s="619"/>
      <c r="AB22" s="5"/>
      <c r="AC22" s="302" t="s">
        <v>329</v>
      </c>
      <c r="AD22" s="640"/>
      <c r="AF22" s="728" t="s">
        <v>211</v>
      </c>
      <c r="AG22" s="619"/>
      <c r="AH22" s="414"/>
      <c r="AI22" s="414"/>
      <c r="AJ22" s="414"/>
      <c r="AK22" s="415"/>
      <c r="AL22" s="416"/>
    </row>
    <row r="23" spans="1:38" ht="15.75">
      <c r="A23" s="69"/>
      <c r="B23" s="752" t="s">
        <v>412</v>
      </c>
      <c r="C23" s="752"/>
      <c r="D23" s="752"/>
      <c r="E23" s="752"/>
      <c r="F23" s="752"/>
      <c r="G23" s="752" t="s">
        <v>413</v>
      </c>
      <c r="H23" s="752"/>
      <c r="I23" s="752"/>
      <c r="J23" s="752"/>
      <c r="K23" s="752"/>
      <c r="L23" s="752"/>
      <c r="M23" s="422"/>
      <c r="N23" s="69"/>
      <c r="O23" s="422"/>
      <c r="P23" s="3"/>
      <c r="Q23" s="19"/>
      <c r="R23" s="19"/>
      <c r="S23" s="19"/>
      <c r="T23" s="19"/>
      <c r="U23" s="19"/>
      <c r="V23" s="19"/>
      <c r="W23" s="19"/>
      <c r="X23" s="19"/>
      <c r="Y23" s="5"/>
      <c r="Z23" s="5"/>
      <c r="AA23" s="5"/>
      <c r="AB23" s="5"/>
      <c r="AC23" s="302" t="s">
        <v>330</v>
      </c>
      <c r="AD23" s="640"/>
      <c r="AF23" s="728" t="s">
        <v>503</v>
      </c>
      <c r="AG23" s="619"/>
      <c r="AH23" s="414"/>
      <c r="AI23" s="414"/>
      <c r="AJ23" s="414"/>
      <c r="AK23" s="415"/>
      <c r="AL23" s="416"/>
    </row>
    <row r="24" spans="1:46" ht="15.75">
      <c r="A24" s="109"/>
      <c r="C24" s="751" t="s">
        <v>411</v>
      </c>
      <c r="D24" s="751"/>
      <c r="E24" s="751"/>
      <c r="F24" s="422"/>
      <c r="G24" s="751" t="s">
        <v>415</v>
      </c>
      <c r="H24" s="751"/>
      <c r="I24" s="751"/>
      <c r="J24" s="751"/>
      <c r="K24" s="751"/>
      <c r="L24" s="751"/>
      <c r="M24" s="751" t="s">
        <v>418</v>
      </c>
      <c r="N24" s="751"/>
      <c r="O24" s="751"/>
      <c r="P24" s="3"/>
      <c r="Q24" s="19"/>
      <c r="R24" s="19"/>
      <c r="S24" s="19"/>
      <c r="T24" s="19"/>
      <c r="U24" s="19"/>
      <c r="V24" s="19"/>
      <c r="W24" s="19"/>
      <c r="X24" s="19"/>
      <c r="Y24" s="5"/>
      <c r="Z24" s="5"/>
      <c r="AA24" s="5"/>
      <c r="AB24" s="5"/>
      <c r="AC24" s="5"/>
      <c r="AD24" s="5"/>
      <c r="AF24" s="728" t="s">
        <v>212</v>
      </c>
      <c r="AG24" s="619"/>
      <c r="AH24"/>
      <c r="AI24"/>
      <c r="AJ24"/>
      <c r="AK24"/>
      <c r="AL24"/>
      <c r="AM24"/>
      <c r="AN24"/>
      <c r="AO24"/>
      <c r="AP24"/>
      <c r="AQ24"/>
      <c r="AR24"/>
      <c r="AT24" s="504"/>
    </row>
    <row r="25" spans="1:44" ht="15.75">
      <c r="A25" s="109"/>
      <c r="B25" s="109"/>
      <c r="C25" s="71"/>
      <c r="D25" s="505" t="s">
        <v>24</v>
      </c>
      <c r="E25" s="469"/>
      <c r="F25" s="422"/>
      <c r="G25" s="506"/>
      <c r="H25" s="507"/>
      <c r="I25" s="508" t="s">
        <v>382</v>
      </c>
      <c r="J25" s="420" t="s">
        <v>383</v>
      </c>
      <c r="K25" s="508" t="s">
        <v>118</v>
      </c>
      <c r="L25" s="420" t="s">
        <v>118</v>
      </c>
      <c r="M25" s="423" t="s">
        <v>386</v>
      </c>
      <c r="N25" s="420" t="s">
        <v>385</v>
      </c>
      <c r="O25" s="508" t="s">
        <v>384</v>
      </c>
      <c r="P25" s="3"/>
      <c r="Q25" s="19"/>
      <c r="R25" s="19"/>
      <c r="S25" s="25"/>
      <c r="T25" s="19"/>
      <c r="U25" s="25"/>
      <c r="V25" s="19"/>
      <c r="W25" s="25"/>
      <c r="X25" s="19"/>
      <c r="Y25" s="5"/>
      <c r="Z25" s="5"/>
      <c r="AA25" s="5"/>
      <c r="AB25" s="5"/>
      <c r="AC25" s="5"/>
      <c r="AD25" s="5"/>
      <c r="AE25" s="5"/>
      <c r="AF25" s="728" t="s">
        <v>213</v>
      </c>
      <c r="AG25" s="619"/>
      <c r="AH25"/>
      <c r="AI25"/>
      <c r="AJ25"/>
      <c r="AK25"/>
      <c r="AL25"/>
      <c r="AM25"/>
      <c r="AN25"/>
      <c r="AO25"/>
      <c r="AP25"/>
      <c r="AQ25"/>
      <c r="AR25"/>
    </row>
    <row r="26" spans="1:44" ht="15.75">
      <c r="A26" s="71" t="s">
        <v>39</v>
      </c>
      <c r="B26" s="469"/>
      <c r="C26" s="72" t="s">
        <v>16</v>
      </c>
      <c r="D26" s="72" t="s">
        <v>17</v>
      </c>
      <c r="E26" s="72" t="s">
        <v>18</v>
      </c>
      <c r="F26" s="422"/>
      <c r="G26" s="509" t="s">
        <v>387</v>
      </c>
      <c r="H26" s="510"/>
      <c r="I26" s="430" t="s">
        <v>388</v>
      </c>
      <c r="J26" s="430" t="s">
        <v>414</v>
      </c>
      <c r="K26" s="430" t="s">
        <v>355</v>
      </c>
      <c r="L26" s="430" t="s">
        <v>90</v>
      </c>
      <c r="M26" s="464" t="s">
        <v>389</v>
      </c>
      <c r="N26" s="425" t="s">
        <v>389</v>
      </c>
      <c r="O26" s="511" t="s">
        <v>389</v>
      </c>
      <c r="P26" s="3"/>
      <c r="Q26" s="19"/>
      <c r="R26" s="19"/>
      <c r="S26" s="25"/>
      <c r="T26" s="19"/>
      <c r="U26" s="25"/>
      <c r="V26" s="19"/>
      <c r="W26" s="25"/>
      <c r="X26" s="19"/>
      <c r="Y26" s="5"/>
      <c r="Z26" s="5"/>
      <c r="AA26" s="5"/>
      <c r="AB26" s="5"/>
      <c r="AC26" s="5"/>
      <c r="AD26" s="5"/>
      <c r="AE26" s="5"/>
      <c r="AF26" s="729" t="s">
        <v>214</v>
      </c>
      <c r="AG26" s="619"/>
      <c r="AH26"/>
      <c r="AI26"/>
      <c r="AJ26"/>
      <c r="AK26"/>
      <c r="AL26"/>
      <c r="AM26"/>
      <c r="AN26"/>
      <c r="AO26"/>
      <c r="AP26"/>
      <c r="AQ26"/>
      <c r="AR26"/>
    </row>
    <row r="27" spans="1:44" ht="15.75">
      <c r="A27" s="512" t="s">
        <v>48</v>
      </c>
      <c r="B27" s="513"/>
      <c r="C27" s="99">
        <v>0.67</v>
      </c>
      <c r="D27" s="99">
        <v>0.42</v>
      </c>
      <c r="E27" s="100">
        <v>0.57</v>
      </c>
      <c r="F27" s="422"/>
      <c r="G27" s="514" t="s">
        <v>390</v>
      </c>
      <c r="H27" s="515"/>
      <c r="I27" s="516">
        <v>2700</v>
      </c>
      <c r="J27" s="517">
        <v>8.75</v>
      </c>
      <c r="K27" s="518">
        <v>1</v>
      </c>
      <c r="L27" s="519">
        <v>0.9</v>
      </c>
      <c r="M27" s="223">
        <f>O27-N27</f>
        <v>1.4724948347107443</v>
      </c>
      <c r="N27" s="223">
        <f>O27*$L27</f>
        <v>13.252453512396695</v>
      </c>
      <c r="O27" s="520">
        <f>($I27/43560*$J27*K27*27150)/1000</f>
        <v>14.72494834710744</v>
      </c>
      <c r="P27" s="3"/>
      <c r="Q27" s="19"/>
      <c r="R27" s="19"/>
      <c r="S27" s="25"/>
      <c r="T27" s="19"/>
      <c r="U27" s="25"/>
      <c r="V27" s="19"/>
      <c r="W27" s="25"/>
      <c r="X27" s="19"/>
      <c r="Y27" s="5"/>
      <c r="Z27" s="5"/>
      <c r="AA27" s="5"/>
      <c r="AB27" s="5"/>
      <c r="AC27" s="5"/>
      <c r="AD27" s="5"/>
      <c r="AE27" s="5"/>
      <c r="AF27" s="728" t="s">
        <v>504</v>
      </c>
      <c r="AG27" s="619"/>
      <c r="AH27"/>
      <c r="AI27"/>
      <c r="AJ27"/>
      <c r="AK27"/>
      <c r="AL27"/>
      <c r="AM27"/>
      <c r="AN27"/>
      <c r="AO27"/>
      <c r="AP27"/>
      <c r="AQ27"/>
      <c r="AR27"/>
    </row>
    <row r="28" spans="1:44" ht="15.75">
      <c r="A28" s="512" t="s">
        <v>49</v>
      </c>
      <c r="B28" s="513"/>
      <c r="C28" s="99">
        <v>0.75</v>
      </c>
      <c r="D28" s="663">
        <v>1</v>
      </c>
      <c r="E28" s="664">
        <v>1</v>
      </c>
      <c r="F28" s="422"/>
      <c r="G28" s="521" t="s">
        <v>50</v>
      </c>
      <c r="H28" s="522"/>
      <c r="I28" s="523"/>
      <c r="J28" s="524" t="s">
        <v>4</v>
      </c>
      <c r="K28" s="524" t="s">
        <v>4</v>
      </c>
      <c r="L28" s="525"/>
      <c r="M28" s="223">
        <f>W14/1000</f>
        <v>3.1655358503999995</v>
      </c>
      <c r="N28" s="223">
        <f>V14/1000</f>
        <v>23.213929569600005</v>
      </c>
      <c r="O28" s="223">
        <f>T22/1000</f>
        <v>26.379465420000002</v>
      </c>
      <c r="P28" s="3"/>
      <c r="Q28" s="19"/>
      <c r="R28" s="19"/>
      <c r="S28" s="25"/>
      <c r="T28" s="19"/>
      <c r="U28" s="25"/>
      <c r="V28" s="19"/>
      <c r="W28" s="25"/>
      <c r="X28" s="19"/>
      <c r="Y28" s="5"/>
      <c r="Z28" s="5"/>
      <c r="AA28" s="5"/>
      <c r="AB28" s="5"/>
      <c r="AC28" s="5"/>
      <c r="AD28" s="5"/>
      <c r="AE28" s="5"/>
      <c r="AF28" s="728" t="s">
        <v>505</v>
      </c>
      <c r="AG28" s="619"/>
      <c r="AH28"/>
      <c r="AI28"/>
      <c r="AJ28"/>
      <c r="AK28"/>
      <c r="AL28"/>
      <c r="AM28"/>
      <c r="AN28"/>
      <c r="AO28"/>
      <c r="AP28"/>
      <c r="AQ28"/>
      <c r="AR28"/>
    </row>
    <row r="29" spans="1:44" ht="15.75">
      <c r="A29" s="512" t="s">
        <v>51</v>
      </c>
      <c r="B29" s="513"/>
      <c r="C29" s="99">
        <v>0.94</v>
      </c>
      <c r="D29" s="663">
        <v>1</v>
      </c>
      <c r="E29" s="664">
        <v>1</v>
      </c>
      <c r="F29" s="422"/>
      <c r="G29" s="453" t="s">
        <v>391</v>
      </c>
      <c r="H29" s="422"/>
      <c r="I29" s="526"/>
      <c r="J29" s="422"/>
      <c r="K29" s="526"/>
      <c r="L29" s="525"/>
      <c r="M29" s="223">
        <f>W21/1000</f>
        <v>3.9055</v>
      </c>
      <c r="N29" s="223">
        <f>V21/1000</f>
        <v>386.6445</v>
      </c>
      <c r="O29" s="223">
        <f>U22/1000</f>
        <v>390.55</v>
      </c>
      <c r="P29" s="3"/>
      <c r="Q29" s="5"/>
      <c r="R29" s="5"/>
      <c r="S29" s="5"/>
      <c r="T29" s="5"/>
      <c r="U29" s="5"/>
      <c r="V29" s="5"/>
      <c r="W29" s="5"/>
      <c r="X29" s="5"/>
      <c r="Y29" s="5"/>
      <c r="Z29" s="5"/>
      <c r="AA29" s="5"/>
      <c r="AB29" s="5"/>
      <c r="AC29" s="5"/>
      <c r="AD29" s="5"/>
      <c r="AE29" s="5"/>
      <c r="AF29" s="728" t="s">
        <v>215</v>
      </c>
      <c r="AG29" s="619"/>
      <c r="AH29"/>
      <c r="AI29"/>
      <c r="AJ29"/>
      <c r="AK29"/>
      <c r="AL29"/>
      <c r="AM29"/>
      <c r="AN29"/>
      <c r="AO29"/>
      <c r="AP29"/>
      <c r="AQ29"/>
      <c r="AR29"/>
    </row>
    <row r="30" spans="1:44" ht="15.75">
      <c r="A30" s="527" t="s">
        <v>53</v>
      </c>
      <c r="B30" s="528"/>
      <c r="C30" s="101">
        <v>0.68</v>
      </c>
      <c r="D30" s="101">
        <v>0.9</v>
      </c>
      <c r="E30" s="102">
        <v>0.93</v>
      </c>
      <c r="F30" s="422"/>
      <c r="G30" s="529" t="s">
        <v>392</v>
      </c>
      <c r="H30" s="530"/>
      <c r="I30" s="531"/>
      <c r="J30" s="417"/>
      <c r="K30" s="417"/>
      <c r="L30" s="525"/>
      <c r="M30" s="223">
        <f>M27+W22/1000</f>
        <v>8.543530685110744</v>
      </c>
      <c r="N30" s="223">
        <f>V22/1000+N27</f>
        <v>423.11088308199675</v>
      </c>
      <c r="O30" s="223">
        <f>SUM(O27:O29)</f>
        <v>431.6544137671075</v>
      </c>
      <c r="P30" s="3"/>
      <c r="Q30" s="24"/>
      <c r="R30" s="5"/>
      <c r="S30" s="5"/>
      <c r="T30" s="5"/>
      <c r="U30" s="5"/>
      <c r="V30" s="5"/>
      <c r="W30" s="24"/>
      <c r="X30" s="5"/>
      <c r="Y30" s="5"/>
      <c r="Z30" s="5"/>
      <c r="AA30" s="5"/>
      <c r="AB30" s="5"/>
      <c r="AC30" s="5"/>
      <c r="AD30" s="5"/>
      <c r="AF30" s="728" t="s">
        <v>216</v>
      </c>
      <c r="AG30" s="619"/>
      <c r="AH30"/>
      <c r="AI30"/>
      <c r="AJ30"/>
      <c r="AK30"/>
      <c r="AL30"/>
      <c r="AM30"/>
      <c r="AN30"/>
      <c r="AO30"/>
      <c r="AP30"/>
      <c r="AQ30"/>
      <c r="AR30"/>
    </row>
    <row r="31" spans="1:44" ht="15.75">
      <c r="A31" s="70"/>
      <c r="B31" s="70"/>
      <c r="C31" s="70"/>
      <c r="D31" s="70"/>
      <c r="E31" s="70"/>
      <c r="F31" s="70"/>
      <c r="G31" s="70"/>
      <c r="H31" s="70"/>
      <c r="I31" s="87"/>
      <c r="J31" s="70"/>
      <c r="K31" s="70"/>
      <c r="L31" s="70"/>
      <c r="M31" s="70"/>
      <c r="N31" s="70"/>
      <c r="O31" s="70"/>
      <c r="P31" s="3"/>
      <c r="Q31" s="25"/>
      <c r="R31" s="19"/>
      <c r="S31" s="19"/>
      <c r="T31" s="19"/>
      <c r="U31" s="5"/>
      <c r="V31" s="5"/>
      <c r="W31" s="5"/>
      <c r="X31" s="5"/>
      <c r="Y31" s="5"/>
      <c r="Z31" s="5"/>
      <c r="AA31" s="5"/>
      <c r="AB31" s="5"/>
      <c r="AC31" s="5"/>
      <c r="AD31" s="5"/>
      <c r="AF31" s="728" t="s">
        <v>506</v>
      </c>
      <c r="AG31" s="619"/>
      <c r="AH31"/>
      <c r="AI31"/>
      <c r="AJ31"/>
      <c r="AK31"/>
      <c r="AL31"/>
      <c r="AM31"/>
      <c r="AN31"/>
      <c r="AO31"/>
      <c r="AP31"/>
      <c r="AQ31"/>
      <c r="AR31"/>
    </row>
    <row r="32" spans="1:46" ht="15.75">
      <c r="A32" s="202"/>
      <c r="B32" s="423"/>
      <c r="C32" s="770" t="s">
        <v>54</v>
      </c>
      <c r="D32" s="771"/>
      <c r="E32" s="420" t="s">
        <v>55</v>
      </c>
      <c r="F32" s="745" t="s">
        <v>304</v>
      </c>
      <c r="G32" s="746"/>
      <c r="H32" s="747"/>
      <c r="I32" s="532" t="s">
        <v>56</v>
      </c>
      <c r="J32" s="202" t="s">
        <v>16</v>
      </c>
      <c r="K32" s="770" t="s">
        <v>467</v>
      </c>
      <c r="L32" s="760"/>
      <c r="M32" s="771"/>
      <c r="N32" s="770" t="s">
        <v>405</v>
      </c>
      <c r="O32" s="771"/>
      <c r="P32" s="3"/>
      <c r="R32" s="766" t="s">
        <v>447</v>
      </c>
      <c r="S32" s="767"/>
      <c r="T32" s="768"/>
      <c r="U32" s="5"/>
      <c r="W32" s="19"/>
      <c r="AB32" s="19"/>
      <c r="AE32" s="5"/>
      <c r="AF32" s="728" t="s">
        <v>309</v>
      </c>
      <c r="AG32" s="619"/>
      <c r="AH32"/>
      <c r="AI32"/>
      <c r="AJ32"/>
      <c r="AK32"/>
      <c r="AL32"/>
      <c r="AM32"/>
      <c r="AN32"/>
      <c r="AO32"/>
      <c r="AP32"/>
      <c r="AQ32"/>
      <c r="AR32"/>
      <c r="AT32" s="504"/>
    </row>
    <row r="33" spans="1:46" ht="15.75">
      <c r="A33" s="204"/>
      <c r="B33" s="464"/>
      <c r="C33" s="757" t="s">
        <v>57</v>
      </c>
      <c r="D33" s="758"/>
      <c r="E33" s="425" t="s">
        <v>58</v>
      </c>
      <c r="F33" s="748" t="s">
        <v>303</v>
      </c>
      <c r="G33" s="749"/>
      <c r="H33" s="750"/>
      <c r="I33" s="533" t="s">
        <v>59</v>
      </c>
      <c r="J33" s="204" t="s">
        <v>60</v>
      </c>
      <c r="K33" s="757" t="s">
        <v>468</v>
      </c>
      <c r="L33" s="759"/>
      <c r="M33" s="758"/>
      <c r="N33" s="757" t="s">
        <v>406</v>
      </c>
      <c r="O33" s="758"/>
      <c r="P33" s="3"/>
      <c r="R33" s="765" t="s">
        <v>448</v>
      </c>
      <c r="S33" s="753"/>
      <c r="T33" s="754"/>
      <c r="U33" s="25"/>
      <c r="V33" s="5"/>
      <c r="W33" s="19"/>
      <c r="X33" s="19"/>
      <c r="Y33" s="19"/>
      <c r="Z33" s="19"/>
      <c r="AB33" s="19"/>
      <c r="AC33" s="25"/>
      <c r="AD33" s="19"/>
      <c r="AE33" s="5"/>
      <c r="AF33" s="729" t="s">
        <v>308</v>
      </c>
      <c r="AG33" s="619"/>
      <c r="AH33"/>
      <c r="AI33"/>
      <c r="AJ33"/>
      <c r="AK33"/>
      <c r="AL33"/>
      <c r="AM33"/>
      <c r="AN33"/>
      <c r="AO33"/>
      <c r="AP33"/>
      <c r="AQ33"/>
      <c r="AR33"/>
      <c r="AS33" s="534"/>
      <c r="AT33" s="504"/>
    </row>
    <row r="34" spans="1:46" ht="15.75">
      <c r="A34" s="164" t="s">
        <v>61</v>
      </c>
      <c r="B34" s="166"/>
      <c r="C34" s="71" t="s">
        <v>54</v>
      </c>
      <c r="D34" s="72" t="s">
        <v>62</v>
      </c>
      <c r="E34" s="535"/>
      <c r="F34" s="71" t="s">
        <v>16</v>
      </c>
      <c r="G34" s="71" t="s">
        <v>17</v>
      </c>
      <c r="H34" s="71" t="s">
        <v>18</v>
      </c>
      <c r="I34" s="536" t="s">
        <v>63</v>
      </c>
      <c r="J34" s="71" t="s">
        <v>63</v>
      </c>
      <c r="K34" s="71" t="s">
        <v>16</v>
      </c>
      <c r="L34" s="71" t="s">
        <v>17</v>
      </c>
      <c r="M34" s="72" t="s">
        <v>18</v>
      </c>
      <c r="N34" s="72" t="s">
        <v>16</v>
      </c>
      <c r="O34" s="72" t="s">
        <v>17</v>
      </c>
      <c r="P34" s="3"/>
      <c r="R34" s="57" t="s">
        <v>16</v>
      </c>
      <c r="S34" s="563" t="s">
        <v>17</v>
      </c>
      <c r="T34" s="563" t="s">
        <v>18</v>
      </c>
      <c r="U34" s="5"/>
      <c r="V34" s="5"/>
      <c r="W34" s="19"/>
      <c r="X34" s="19"/>
      <c r="Y34" s="19"/>
      <c r="Z34" s="19"/>
      <c r="AB34" s="19"/>
      <c r="AC34" s="25"/>
      <c r="AD34" s="19"/>
      <c r="AE34" s="5"/>
      <c r="AF34" s="728" t="s">
        <v>507</v>
      </c>
      <c r="AG34" s="619"/>
      <c r="AH34"/>
      <c r="AI34"/>
      <c r="AJ34"/>
      <c r="AK34"/>
      <c r="AL34"/>
      <c r="AM34"/>
      <c r="AN34"/>
      <c r="AO34"/>
      <c r="AP34"/>
      <c r="AQ34"/>
      <c r="AR34"/>
      <c r="AS34" s="534"/>
      <c r="AT34" s="504"/>
    </row>
    <row r="35" spans="1:46" ht="15.75">
      <c r="A35" s="784" t="s">
        <v>64</v>
      </c>
      <c r="B35" s="785"/>
      <c r="C35" s="103" t="s">
        <v>408</v>
      </c>
      <c r="D35" s="444">
        <v>5.6</v>
      </c>
      <c r="E35" s="104">
        <v>6</v>
      </c>
      <c r="F35" s="569">
        <f>IF(A35=" "," ",VLOOKUP($A35,'Crop Uptk'!$A$5:$E$38,3,TRUE))</f>
        <v>56.6</v>
      </c>
      <c r="G35" s="569">
        <f>IF(A35=" "," ",VLOOKUP($A35,'Crop Uptk'!$A$5:$E$38,4,TRUE))</f>
        <v>13.3</v>
      </c>
      <c r="H35" s="569">
        <f>IF(A35=" "," ",VLOOKUP($A35,'Crop Uptk'!$A$5:$E$38,5,TRUE))</f>
        <v>60</v>
      </c>
      <c r="I35" s="105">
        <v>330</v>
      </c>
      <c r="J35" s="205">
        <f aca="true" t="shared" si="0" ref="J35:J42">IF(E35&gt;0,F35*E35-I35,0)</f>
        <v>9.600000000000023</v>
      </c>
      <c r="K35" s="81">
        <f aca="true" t="shared" si="1" ref="K35:K42">D35*J35</f>
        <v>53.760000000000126</v>
      </c>
      <c r="L35" s="81">
        <f aca="true" t="shared" si="2" ref="L35:L42">D35*E35*G35</f>
        <v>446.87999999999994</v>
      </c>
      <c r="M35" s="537">
        <f aca="true" t="shared" si="3" ref="M35:M42">H35*E35*D35</f>
        <v>2015.9999999999998</v>
      </c>
      <c r="N35" s="352">
        <f>J35/I55</f>
        <v>6.85347615816666</v>
      </c>
      <c r="O35" s="353">
        <f>E35*G35/J55</f>
        <v>77.26159907482264</v>
      </c>
      <c r="P35" s="3"/>
      <c r="R35" s="629">
        <f aca="true" t="shared" si="4" ref="R35:R42">$I$57*D35</f>
        <v>62.983280864374855</v>
      </c>
      <c r="S35" s="630">
        <f aca="true" t="shared" si="5" ref="S35:S42">$J$57*D35</f>
        <v>5.586920526315789</v>
      </c>
      <c r="T35" s="631">
        <f aca="true" t="shared" si="6" ref="T35:T42">$K$57*D35</f>
        <v>2.9789396525000003</v>
      </c>
      <c r="U35" s="5"/>
      <c r="V35" s="5"/>
      <c r="W35" s="19"/>
      <c r="X35" s="19"/>
      <c r="Y35" s="19"/>
      <c r="Z35" s="19"/>
      <c r="AF35" s="728" t="s">
        <v>508</v>
      </c>
      <c r="AG35" s="619"/>
      <c r="AH35"/>
      <c r="AI35"/>
      <c r="AJ35"/>
      <c r="AK35"/>
      <c r="AL35"/>
      <c r="AM35"/>
      <c r="AN35"/>
      <c r="AO35"/>
      <c r="AP35"/>
      <c r="AQ35"/>
      <c r="AR35"/>
      <c r="AS35" s="534"/>
      <c r="AT35" s="504"/>
    </row>
    <row r="36" spans="1:46" ht="15.75">
      <c r="A36" s="779" t="s">
        <v>68</v>
      </c>
      <c r="B36" s="780"/>
      <c r="C36" s="103" t="s">
        <v>4</v>
      </c>
      <c r="D36" s="444">
        <v>0</v>
      </c>
      <c r="E36" s="104">
        <v>30</v>
      </c>
      <c r="F36" s="569">
        <f>IF(A36=" "," ",VLOOKUP($A36,'Crop Uptk'!$A$5:$E$38,3,TRUE))</f>
        <v>9</v>
      </c>
      <c r="G36" s="569">
        <f>IF(A36=" "," ",VLOOKUP($A36,'Crop Uptk'!$A$5:$E$38,4,TRUE))</f>
        <v>3.1</v>
      </c>
      <c r="H36" s="569">
        <f>IF(A36=" "," ",VLOOKUP($A36,'Crop Uptk'!$A$5:$E$38,5,TRUE))</f>
        <v>9</v>
      </c>
      <c r="I36" s="105">
        <v>0</v>
      </c>
      <c r="J36" s="206">
        <f t="shared" si="0"/>
        <v>270</v>
      </c>
      <c r="K36" s="81">
        <f t="shared" si="1"/>
        <v>0</v>
      </c>
      <c r="L36" s="81">
        <f t="shared" si="2"/>
        <v>0</v>
      </c>
      <c r="M36" s="483">
        <f t="shared" si="3"/>
        <v>0</v>
      </c>
      <c r="N36" s="354">
        <f>J36/I55</f>
        <v>192.75401694843686</v>
      </c>
      <c r="O36" s="571">
        <f>E36*G36/J55</f>
        <v>90.04171320750007</v>
      </c>
      <c r="P36" s="3"/>
      <c r="R36" s="632">
        <f t="shared" si="4"/>
        <v>0</v>
      </c>
      <c r="S36" s="633">
        <f t="shared" si="5"/>
        <v>0</v>
      </c>
      <c r="T36" s="634">
        <f t="shared" si="6"/>
        <v>0</v>
      </c>
      <c r="U36" s="5"/>
      <c r="V36" s="5"/>
      <c r="W36" s="19"/>
      <c r="X36" s="19"/>
      <c r="Y36" s="19"/>
      <c r="Z36" s="19"/>
      <c r="AB36" s="201"/>
      <c r="AC36"/>
      <c r="AD36"/>
      <c r="AE36" s="5"/>
      <c r="AF36" s="728" t="s">
        <v>509</v>
      </c>
      <c r="AG36" s="619"/>
      <c r="AH36"/>
      <c r="AI36"/>
      <c r="AJ36"/>
      <c r="AK36"/>
      <c r="AL36"/>
      <c r="AM36"/>
      <c r="AN36"/>
      <c r="AO36"/>
      <c r="AP36"/>
      <c r="AQ36"/>
      <c r="AR36"/>
      <c r="AS36" s="534"/>
      <c r="AT36" s="504"/>
    </row>
    <row r="37" spans="1:46" ht="15.75">
      <c r="A37" s="779" t="s">
        <v>67</v>
      </c>
      <c r="B37" s="780"/>
      <c r="C37" s="103" t="s">
        <v>4</v>
      </c>
      <c r="D37" s="444">
        <v>0</v>
      </c>
      <c r="E37" s="104">
        <v>4</v>
      </c>
      <c r="F37" s="569">
        <f>IF(A37=" "," ",VLOOKUP($A37,'Crop Uptk'!$A$5:$E$38,3,TRUE))</f>
        <v>31.6</v>
      </c>
      <c r="G37" s="569">
        <f>IF(A37=" "," ",VLOOKUP($A37,'Crop Uptk'!$A$5:$E$38,4,TRUE))</f>
        <v>13</v>
      </c>
      <c r="H37" s="569">
        <f>IF(A37=" "," ",VLOOKUP($A37,'Crop Uptk'!$A$5:$E$38,5,TRUE))</f>
        <v>60</v>
      </c>
      <c r="I37" s="105">
        <v>0</v>
      </c>
      <c r="J37" s="206">
        <f t="shared" si="0"/>
        <v>126.4</v>
      </c>
      <c r="K37" s="81">
        <f t="shared" si="1"/>
        <v>0</v>
      </c>
      <c r="L37" s="81">
        <f t="shared" si="2"/>
        <v>0</v>
      </c>
      <c r="M37" s="483">
        <f t="shared" si="3"/>
        <v>0</v>
      </c>
      <c r="N37" s="354">
        <f>J37/I55</f>
        <v>90.23743608252748</v>
      </c>
      <c r="O37" s="571">
        <f>E37*G37/J55</f>
        <v>50.345904159032294</v>
      </c>
      <c r="P37" s="3"/>
      <c r="R37" s="632">
        <f t="shared" si="4"/>
        <v>0</v>
      </c>
      <c r="S37" s="633">
        <f t="shared" si="5"/>
        <v>0</v>
      </c>
      <c r="T37" s="634">
        <f t="shared" si="6"/>
        <v>0</v>
      </c>
      <c r="U37" s="5"/>
      <c r="V37" s="5"/>
      <c r="W37" s="19"/>
      <c r="X37" s="19"/>
      <c r="Y37" s="19"/>
      <c r="Z37" s="19"/>
      <c r="AA37" s="19"/>
      <c r="AB37" s="19"/>
      <c r="AC37" s="19"/>
      <c r="AD37" s="5"/>
      <c r="AE37" s="19"/>
      <c r="AF37" s="5"/>
      <c r="AG37"/>
      <c r="AH37"/>
      <c r="AI37"/>
      <c r="AJ37"/>
      <c r="AK37"/>
      <c r="AL37"/>
      <c r="AM37"/>
      <c r="AN37"/>
      <c r="AO37"/>
      <c r="AP37"/>
      <c r="AQ37"/>
      <c r="AR37"/>
      <c r="AS37" s="534"/>
      <c r="AT37" s="504"/>
    </row>
    <row r="38" spans="1:46" ht="15.75">
      <c r="A38" s="779" t="s">
        <v>509</v>
      </c>
      <c r="B38" s="780"/>
      <c r="C38" s="103" t="s">
        <v>4</v>
      </c>
      <c r="D38" s="444">
        <v>0</v>
      </c>
      <c r="E38" s="104">
        <v>120</v>
      </c>
      <c r="F38" s="569">
        <f>IF(A38=" "," ",VLOOKUP($A38,'Crop Uptk'!$A$5:$E$38,3,TRUE))</f>
        <v>1.7</v>
      </c>
      <c r="G38" s="569">
        <f>IF(A38=" "," ",VLOOKUP($A38,'Crop Uptk'!$A$5:$E$38,4,TRUE))</f>
        <v>0.7</v>
      </c>
      <c r="H38" s="569">
        <f>IF(A38=" "," ",VLOOKUP($A38,'Crop Uptk'!$A$5:$E$38,5,TRUE))</f>
        <v>2</v>
      </c>
      <c r="I38" s="105">
        <v>0</v>
      </c>
      <c r="J38" s="206">
        <f t="shared" si="0"/>
        <v>204</v>
      </c>
      <c r="K38" s="81">
        <f t="shared" si="1"/>
        <v>0</v>
      </c>
      <c r="L38" s="81">
        <f t="shared" si="2"/>
        <v>0</v>
      </c>
      <c r="M38" s="483">
        <f t="shared" si="3"/>
        <v>0</v>
      </c>
      <c r="N38" s="354">
        <f>J38/I55</f>
        <v>145.63636836104118</v>
      </c>
      <c r="O38" s="571">
        <f>E38*G38/J55</f>
        <v>81.32799902612909</v>
      </c>
      <c r="P38" s="3"/>
      <c r="R38" s="632">
        <f t="shared" si="4"/>
        <v>0</v>
      </c>
      <c r="S38" s="633">
        <f t="shared" si="5"/>
        <v>0</v>
      </c>
      <c r="T38" s="634">
        <f t="shared" si="6"/>
        <v>0</v>
      </c>
      <c r="U38" s="5"/>
      <c r="V38" s="5"/>
      <c r="X38" s="19"/>
      <c r="Y38" s="19"/>
      <c r="Z38" s="19"/>
      <c r="AA38" s="19"/>
      <c r="AB38" s="19"/>
      <c r="AC38" s="19"/>
      <c r="AD38" s="19"/>
      <c r="AE38" s="19"/>
      <c r="AF38" s="5"/>
      <c r="AG38"/>
      <c r="AH38"/>
      <c r="AI38"/>
      <c r="AJ38"/>
      <c r="AK38"/>
      <c r="AL38"/>
      <c r="AM38"/>
      <c r="AN38"/>
      <c r="AO38"/>
      <c r="AP38"/>
      <c r="AQ38"/>
      <c r="AR38"/>
      <c r="AS38" s="534"/>
      <c r="AT38" s="504"/>
    </row>
    <row r="39" spans="1:46" ht="15.75">
      <c r="A39" s="779"/>
      <c r="B39" s="780"/>
      <c r="C39" s="103"/>
      <c r="D39" s="444"/>
      <c r="E39" s="104"/>
      <c r="F39" s="569">
        <f>IF(A39=" "," ",VLOOKUP($A39,'Crop Uptk'!$A$5:$E$38,3,TRUE))</f>
        <v>0</v>
      </c>
      <c r="G39" s="569">
        <f>IF(A39=" "," ",VLOOKUP($A39,'Crop Uptk'!$A$5:$E$38,4,TRUE))</f>
        <v>0</v>
      </c>
      <c r="H39" s="569">
        <f>IF(A39=" "," ",VLOOKUP($A39,'Crop Uptk'!$A$5:$E$38,5,TRUE))</f>
        <v>0</v>
      </c>
      <c r="I39" s="105">
        <v>0</v>
      </c>
      <c r="J39" s="206">
        <f t="shared" si="0"/>
        <v>0</v>
      </c>
      <c r="K39" s="81">
        <f t="shared" si="1"/>
        <v>0</v>
      </c>
      <c r="L39" s="81">
        <f t="shared" si="2"/>
        <v>0</v>
      </c>
      <c r="M39" s="483">
        <f t="shared" si="3"/>
        <v>0</v>
      </c>
      <c r="N39" s="354">
        <f>J39/I55</f>
        <v>0</v>
      </c>
      <c r="O39" s="571">
        <f>E39*G39/J55</f>
        <v>0</v>
      </c>
      <c r="P39" s="3"/>
      <c r="R39" s="632">
        <f t="shared" si="4"/>
        <v>0</v>
      </c>
      <c r="S39" s="633">
        <f t="shared" si="5"/>
        <v>0</v>
      </c>
      <c r="T39" s="634">
        <f t="shared" si="6"/>
        <v>0</v>
      </c>
      <c r="U39" s="5"/>
      <c r="V39" s="5"/>
      <c r="X39" s="19"/>
      <c r="Y39" s="19"/>
      <c r="Z39" s="19"/>
      <c r="AA39" s="19"/>
      <c r="AB39" s="19"/>
      <c r="AC39" s="19"/>
      <c r="AD39" s="19"/>
      <c r="AE39" s="19"/>
      <c r="AF39" s="5"/>
      <c r="AG39"/>
      <c r="AH39"/>
      <c r="AI39"/>
      <c r="AJ39"/>
      <c r="AK39"/>
      <c r="AL39"/>
      <c r="AM39"/>
      <c r="AN39"/>
      <c r="AO39"/>
      <c r="AP39"/>
      <c r="AQ39"/>
      <c r="AR39"/>
      <c r="AS39" s="534"/>
      <c r="AT39" s="504"/>
    </row>
    <row r="40" spans="1:46" ht="15.75">
      <c r="A40" s="779">
        <v>0</v>
      </c>
      <c r="B40" s="780"/>
      <c r="C40" s="103" t="s">
        <v>4</v>
      </c>
      <c r="D40" s="444">
        <v>0</v>
      </c>
      <c r="E40" s="104">
        <v>0</v>
      </c>
      <c r="F40" s="569">
        <f>IF(A40=" "," ",VLOOKUP($A40,'Crop Uptk'!$A$5:$E$38,3,TRUE))</f>
        <v>0</v>
      </c>
      <c r="G40" s="569">
        <f>IF(A40=" "," ",VLOOKUP($A40,'Crop Uptk'!$A$5:$E$38,4,TRUE))</f>
        <v>0</v>
      </c>
      <c r="H40" s="569">
        <f>IF(A40=" "," ",VLOOKUP($A40,'Crop Uptk'!$A$5:$E$38,5,TRUE))</f>
        <v>0</v>
      </c>
      <c r="I40" s="105">
        <v>0</v>
      </c>
      <c r="J40" s="206">
        <f t="shared" si="0"/>
        <v>0</v>
      </c>
      <c r="K40" s="81">
        <f t="shared" si="1"/>
        <v>0</v>
      </c>
      <c r="L40" s="81">
        <f t="shared" si="2"/>
        <v>0</v>
      </c>
      <c r="M40" s="483">
        <f t="shared" si="3"/>
        <v>0</v>
      </c>
      <c r="N40" s="354">
        <f>J40/I55</f>
        <v>0</v>
      </c>
      <c r="O40" s="571">
        <f>E40*G40/J55</f>
        <v>0</v>
      </c>
      <c r="P40" s="3"/>
      <c r="R40" s="632">
        <f t="shared" si="4"/>
        <v>0</v>
      </c>
      <c r="S40" s="633">
        <f t="shared" si="5"/>
        <v>0</v>
      </c>
      <c r="T40" s="634">
        <f t="shared" si="6"/>
        <v>0</v>
      </c>
      <c r="U40" s="5"/>
      <c r="V40" s="5"/>
      <c r="X40" s="19"/>
      <c r="Y40" s="19"/>
      <c r="Z40" s="19"/>
      <c r="AA40" s="19"/>
      <c r="AB40" s="19"/>
      <c r="AC40" s="19"/>
      <c r="AD40" s="19"/>
      <c r="AE40" s="19"/>
      <c r="AF40" s="5"/>
      <c r="AG40"/>
      <c r="AH40"/>
      <c r="AI40"/>
      <c r="AJ40"/>
      <c r="AK40"/>
      <c r="AL40"/>
      <c r="AM40"/>
      <c r="AN40"/>
      <c r="AO40"/>
      <c r="AP40"/>
      <c r="AQ40"/>
      <c r="AR40"/>
      <c r="AS40" s="534"/>
      <c r="AT40" s="504"/>
    </row>
    <row r="41" spans="1:46" ht="15.75">
      <c r="A41" s="779">
        <v>0</v>
      </c>
      <c r="B41" s="780"/>
      <c r="C41" s="103" t="s">
        <v>4</v>
      </c>
      <c r="D41" s="444">
        <v>0</v>
      </c>
      <c r="E41" s="104">
        <v>0</v>
      </c>
      <c r="F41" s="569">
        <f>IF(A41=" "," ",VLOOKUP($A41,'Crop Uptk'!$A$5:$E$38,3,TRUE))</f>
        <v>0</v>
      </c>
      <c r="G41" s="569">
        <f>IF(A41=" "," ",VLOOKUP($A41,'Crop Uptk'!$A$5:$E$38,4,TRUE))</f>
        <v>0</v>
      </c>
      <c r="H41" s="569">
        <f>IF(A41=" "," ",VLOOKUP($A41,'Crop Uptk'!$A$5:$E$38,5,TRUE))</f>
        <v>0</v>
      </c>
      <c r="I41" s="105">
        <v>0</v>
      </c>
      <c r="J41" s="206">
        <f t="shared" si="0"/>
        <v>0</v>
      </c>
      <c r="K41" s="81">
        <f t="shared" si="1"/>
        <v>0</v>
      </c>
      <c r="L41" s="81">
        <f t="shared" si="2"/>
        <v>0</v>
      </c>
      <c r="M41" s="483">
        <f t="shared" si="3"/>
        <v>0</v>
      </c>
      <c r="N41" s="354">
        <f>J41/I55</f>
        <v>0</v>
      </c>
      <c r="O41" s="571">
        <f>E41*G41/J55</f>
        <v>0</v>
      </c>
      <c r="P41" s="3"/>
      <c r="R41" s="632">
        <f t="shared" si="4"/>
        <v>0</v>
      </c>
      <c r="S41" s="633">
        <f t="shared" si="5"/>
        <v>0</v>
      </c>
      <c r="T41" s="634">
        <f t="shared" si="6"/>
        <v>0</v>
      </c>
      <c r="U41" s="5"/>
      <c r="V41" s="5"/>
      <c r="W41" s="5"/>
      <c r="X41" s="19"/>
      <c r="Y41" s="19"/>
      <c r="Z41" s="19"/>
      <c r="AA41" s="19"/>
      <c r="AB41" s="19"/>
      <c r="AC41" s="19"/>
      <c r="AD41" s="19"/>
      <c r="AE41" s="5"/>
      <c r="AF41" s="5"/>
      <c r="AG41"/>
      <c r="AH41"/>
      <c r="AI41"/>
      <c r="AJ41"/>
      <c r="AK41"/>
      <c r="AL41"/>
      <c r="AM41"/>
      <c r="AN41"/>
      <c r="AO41"/>
      <c r="AP41"/>
      <c r="AQ41"/>
      <c r="AR41"/>
      <c r="AS41" s="534"/>
      <c r="AT41" s="504"/>
    </row>
    <row r="42" spans="1:46" ht="15.75">
      <c r="A42" s="761">
        <v>0</v>
      </c>
      <c r="B42" s="762"/>
      <c r="C42" s="106" t="s">
        <v>4</v>
      </c>
      <c r="D42" s="487">
        <v>0</v>
      </c>
      <c r="E42" s="107">
        <v>0</v>
      </c>
      <c r="F42" s="570">
        <f>IF(A42=" "," ",VLOOKUP($A42,'Crop Uptk'!$A$5:$E$38,3,TRUE))</f>
        <v>0</v>
      </c>
      <c r="G42" s="570">
        <f>IF(A42=" "," ",VLOOKUP($A42,'Crop Uptk'!$A$5:$E$38,4,TRUE))</f>
        <v>0</v>
      </c>
      <c r="H42" s="570">
        <f>IF(A42=" "," ",VLOOKUP($A42,'Crop Uptk'!$A$5:$E$38,5,TRUE))</f>
        <v>0</v>
      </c>
      <c r="I42" s="538">
        <v>0</v>
      </c>
      <c r="J42" s="539">
        <f t="shared" si="0"/>
        <v>0</v>
      </c>
      <c r="K42" s="208">
        <f t="shared" si="1"/>
        <v>0</v>
      </c>
      <c r="L42" s="208">
        <f t="shared" si="2"/>
        <v>0</v>
      </c>
      <c r="M42" s="183">
        <f t="shared" si="3"/>
        <v>0</v>
      </c>
      <c r="N42" s="356">
        <f>J42/I55</f>
        <v>0</v>
      </c>
      <c r="O42" s="572">
        <f>E42*G42/J55</f>
        <v>0</v>
      </c>
      <c r="P42" s="3"/>
      <c r="R42" s="632">
        <f t="shared" si="4"/>
        <v>0</v>
      </c>
      <c r="S42" s="633">
        <f t="shared" si="5"/>
        <v>0</v>
      </c>
      <c r="T42" s="634">
        <f t="shared" si="6"/>
        <v>0</v>
      </c>
      <c r="U42" s="5"/>
      <c r="V42" s="5"/>
      <c r="W42" s="5"/>
      <c r="X42" s="19"/>
      <c r="Y42" s="19"/>
      <c r="Z42" s="19"/>
      <c r="AA42" s="19"/>
      <c r="AB42" s="19"/>
      <c r="AC42" s="19"/>
      <c r="AD42" s="19"/>
      <c r="AE42" s="5"/>
      <c r="AF42" s="5"/>
      <c r="AG42"/>
      <c r="AH42"/>
      <c r="AI42"/>
      <c r="AJ42"/>
      <c r="AK42"/>
      <c r="AL42"/>
      <c r="AM42"/>
      <c r="AN42"/>
      <c r="AO42"/>
      <c r="AP42"/>
      <c r="AQ42"/>
      <c r="AR42"/>
      <c r="AS42" s="534"/>
      <c r="AT42" s="504"/>
    </row>
    <row r="43" spans="1:46" ht="15.75">
      <c r="A43" s="69"/>
      <c r="B43" s="69"/>
      <c r="C43" s="69"/>
      <c r="D43" s="69"/>
      <c r="E43" s="69"/>
      <c r="F43" s="69"/>
      <c r="G43" s="69"/>
      <c r="H43" s="69"/>
      <c r="I43" s="69"/>
      <c r="J43" s="69"/>
      <c r="K43" s="69"/>
      <c r="L43" s="70"/>
      <c r="M43" s="70"/>
      <c r="N43" s="70"/>
      <c r="O43" s="70"/>
      <c r="P43" s="3"/>
      <c r="Q43" s="638" t="s">
        <v>452</v>
      </c>
      <c r="R43" s="628">
        <f>SUM(R35:R42)</f>
        <v>62.983280864374855</v>
      </c>
      <c r="S43" s="628">
        <f>SUM(S35:S42)</f>
        <v>5.586920526315789</v>
      </c>
      <c r="T43" s="628">
        <f>SUM(T35:T42)</f>
        <v>2.9789396525000003</v>
      </c>
      <c r="U43" s="5"/>
      <c r="V43" s="5"/>
      <c r="W43" s="5"/>
      <c r="X43" s="19"/>
      <c r="Y43" s="19"/>
      <c r="Z43" s="19"/>
      <c r="AA43" s="19"/>
      <c r="AB43" s="19"/>
      <c r="AC43" s="19"/>
      <c r="AD43" s="19"/>
      <c r="AE43" s="5"/>
      <c r="AF43" s="5"/>
      <c r="AG43"/>
      <c r="AH43"/>
      <c r="AI43"/>
      <c r="AJ43"/>
      <c r="AK43"/>
      <c r="AL43"/>
      <c r="AM43"/>
      <c r="AN43"/>
      <c r="AO43"/>
      <c r="AP43"/>
      <c r="AQ43"/>
      <c r="AR43"/>
      <c r="AS43" s="534"/>
      <c r="AT43" s="504"/>
    </row>
    <row r="44" spans="12:46" ht="15.75">
      <c r="L44" s="70"/>
      <c r="M44" s="751" t="s">
        <v>419</v>
      </c>
      <c r="N44" s="759"/>
      <c r="O44" s="759"/>
      <c r="P44" s="3"/>
      <c r="R44"/>
      <c r="S44"/>
      <c r="T44"/>
      <c r="U44" s="5"/>
      <c r="V44" s="5"/>
      <c r="W44" s="5"/>
      <c r="X44" s="19"/>
      <c r="Y44" s="19"/>
      <c r="Z44" s="19"/>
      <c r="AA44" s="19"/>
      <c r="AB44" s="19"/>
      <c r="AC44" s="19"/>
      <c r="AD44" s="19"/>
      <c r="AE44" s="5"/>
      <c r="AF44" s="5"/>
      <c r="AG44"/>
      <c r="AH44"/>
      <c r="AI44"/>
      <c r="AJ44"/>
      <c r="AK44"/>
      <c r="AL44"/>
      <c r="AM44"/>
      <c r="AN44"/>
      <c r="AO44"/>
      <c r="AP44"/>
      <c r="AQ44"/>
      <c r="AR44"/>
      <c r="AS44" s="534"/>
      <c r="AT44" s="504"/>
    </row>
    <row r="45" spans="1:44" ht="15.75">
      <c r="A45" s="198" t="s">
        <v>69</v>
      </c>
      <c r="B45" s="279"/>
      <c r="C45" s="279"/>
      <c r="D45" s="279"/>
      <c r="E45" s="279"/>
      <c r="F45" s="279"/>
      <c r="G45" s="279"/>
      <c r="H45" s="279"/>
      <c r="I45" s="71" t="s">
        <v>16</v>
      </c>
      <c r="J45" s="71" t="s">
        <v>17</v>
      </c>
      <c r="K45" s="72" t="s">
        <v>18</v>
      </c>
      <c r="L45" s="70"/>
      <c r="M45" s="453" t="s">
        <v>393</v>
      </c>
      <c r="N45" s="540"/>
      <c r="O45" s="541">
        <f>ROUND(N30/O30,2)</f>
        <v>0.98</v>
      </c>
      <c r="P45" s="3"/>
      <c r="R45"/>
      <c r="S45"/>
      <c r="T45"/>
      <c r="U45" s="5"/>
      <c r="V45" s="5"/>
      <c r="W45" s="5"/>
      <c r="X45" s="5"/>
      <c r="Y45" s="5"/>
      <c r="Z45" s="5"/>
      <c r="AA45" s="5"/>
      <c r="AB45" s="5"/>
      <c r="AC45" s="5"/>
      <c r="AD45" s="5"/>
      <c r="AE45" s="5"/>
      <c r="AF45" s="5"/>
      <c r="AG45"/>
      <c r="AH45"/>
      <c r="AI45"/>
      <c r="AJ45"/>
      <c r="AK45"/>
      <c r="AL45"/>
      <c r="AM45"/>
      <c r="AN45"/>
      <c r="AO45"/>
      <c r="AP45"/>
      <c r="AQ45"/>
      <c r="AR45"/>
    </row>
    <row r="46" spans="1:44" ht="15.75">
      <c r="A46" s="73" t="s">
        <v>71</v>
      </c>
      <c r="B46" s="74"/>
      <c r="C46" s="74"/>
      <c r="D46" s="74"/>
      <c r="E46" s="74"/>
      <c r="F46" s="74"/>
      <c r="G46" s="209">
        <f>SUM($D$35:$D$42)</f>
        <v>5.6</v>
      </c>
      <c r="H46" s="75" t="s">
        <v>72</v>
      </c>
      <c r="I46" s="76">
        <f>SUM(K35:K42)</f>
        <v>53.760000000000126</v>
      </c>
      <c r="J46" s="76">
        <f>SUM(L35:L42)</f>
        <v>446.87999999999994</v>
      </c>
      <c r="K46" s="77">
        <f>SUM(M35:M42)</f>
        <v>2015.9999999999998</v>
      </c>
      <c r="L46" s="70"/>
      <c r="M46" s="421" t="s">
        <v>394</v>
      </c>
      <c r="N46" s="203"/>
      <c r="O46" s="519">
        <v>0.98</v>
      </c>
      <c r="P46" s="3"/>
      <c r="Q46"/>
      <c r="R46"/>
      <c r="S46"/>
      <c r="T46"/>
      <c r="U46" s="5"/>
      <c r="V46" s="5"/>
      <c r="W46" s="5"/>
      <c r="X46" s="5"/>
      <c r="Y46" s="5"/>
      <c r="Z46" s="5"/>
      <c r="AA46" s="5"/>
      <c r="AB46" s="5"/>
      <c r="AC46" s="5"/>
      <c r="AD46" s="5"/>
      <c r="AE46" s="5"/>
      <c r="AF46" s="5"/>
      <c r="AG46"/>
      <c r="AH46"/>
      <c r="AI46"/>
      <c r="AJ46"/>
      <c r="AK46"/>
      <c r="AL46"/>
      <c r="AM46"/>
      <c r="AN46"/>
      <c r="AO46"/>
      <c r="AP46"/>
      <c r="AQ46"/>
      <c r="AR46"/>
    </row>
    <row r="47" spans="1:44" ht="15.75">
      <c r="A47" s="78" t="s">
        <v>74</v>
      </c>
      <c r="B47" s="79"/>
      <c r="C47" s="79"/>
      <c r="D47" s="79"/>
      <c r="E47" s="79"/>
      <c r="F47" s="79"/>
      <c r="G47" s="210">
        <f>SUM($D$35:$D$42)</f>
        <v>5.6</v>
      </c>
      <c r="H47" s="80" t="s">
        <v>72</v>
      </c>
      <c r="I47" s="81">
        <f>K21</f>
        <v>604.639496298</v>
      </c>
      <c r="J47" s="81">
        <f>L21</f>
        <v>445.83625799999993</v>
      </c>
      <c r="K47" s="82">
        <f>M21</f>
        <v>1072.4182749000001</v>
      </c>
      <c r="L47" s="70"/>
      <c r="M47" s="527" t="s">
        <v>395</v>
      </c>
      <c r="N47" s="545"/>
      <c r="O47" s="428"/>
      <c r="P47" s="3"/>
      <c r="Q47"/>
      <c r="R47" s="766" t="s">
        <v>449</v>
      </c>
      <c r="S47" s="767"/>
      <c r="T47" s="768"/>
      <c r="U47" s="5"/>
      <c r="V47" s="5"/>
      <c r="W47" s="5"/>
      <c r="X47" s="5"/>
      <c r="Y47" s="5"/>
      <c r="Z47" s="5"/>
      <c r="AA47" s="5"/>
      <c r="AB47" s="5"/>
      <c r="AC47" s="5"/>
      <c r="AD47" s="5"/>
      <c r="AE47" s="5"/>
      <c r="AG47"/>
      <c r="AH47"/>
      <c r="AI47"/>
      <c r="AJ47"/>
      <c r="AK47"/>
      <c r="AL47"/>
      <c r="AM47"/>
      <c r="AN47"/>
      <c r="AO47"/>
      <c r="AP47"/>
      <c r="AQ47"/>
      <c r="AR47"/>
    </row>
    <row r="48" spans="1:44" ht="15.75">
      <c r="A48" s="542"/>
      <c r="B48" s="543"/>
      <c r="C48" s="543"/>
      <c r="D48" s="543"/>
      <c r="E48" s="543"/>
      <c r="F48" s="543"/>
      <c r="G48" s="543"/>
      <c r="H48" s="543"/>
      <c r="I48" s="543"/>
      <c r="J48" s="543"/>
      <c r="K48" s="544"/>
      <c r="L48" s="70"/>
      <c r="M48" s="421" t="s">
        <v>396</v>
      </c>
      <c r="N48" s="203"/>
      <c r="O48" s="546">
        <f>((1-O45)-(1-O46))/(1-O46)*O30</f>
        <v>0</v>
      </c>
      <c r="P48" s="3"/>
      <c r="Q48"/>
      <c r="R48" s="791" t="s">
        <v>448</v>
      </c>
      <c r="S48" s="792"/>
      <c r="T48" s="793"/>
      <c r="U48" s="5"/>
      <c r="V48" s="5"/>
      <c r="W48" s="5"/>
      <c r="X48" s="5"/>
      <c r="Y48" s="5"/>
      <c r="Z48" s="5"/>
      <c r="AA48" s="5"/>
      <c r="AB48" s="5"/>
      <c r="AC48" s="5"/>
      <c r="AD48" s="5"/>
      <c r="AE48" s="5"/>
      <c r="AF48" s="5"/>
      <c r="AG48"/>
      <c r="AH48"/>
      <c r="AI48"/>
      <c r="AJ48"/>
      <c r="AK48"/>
      <c r="AL48"/>
      <c r="AM48"/>
      <c r="AN48"/>
      <c r="AO48"/>
      <c r="AP48"/>
      <c r="AQ48"/>
      <c r="AR48"/>
    </row>
    <row r="49" spans="1:44" ht="15.75">
      <c r="A49" s="78" t="s">
        <v>403</v>
      </c>
      <c r="B49" s="69"/>
      <c r="C49" s="69"/>
      <c r="D49" s="69"/>
      <c r="E49" s="79"/>
      <c r="F49" s="79"/>
      <c r="G49" s="210">
        <f>SUM($D$35:$D$42)</f>
        <v>5.6</v>
      </c>
      <c r="H49" s="80" t="s">
        <v>72</v>
      </c>
      <c r="I49" s="81">
        <f>IF(I47-I46&lt;0,0,I47-I46)</f>
        <v>550.8794962979999</v>
      </c>
      <c r="J49" s="81">
        <f>IF(J47-J46&lt;0,0,J47-J46)</f>
        <v>0</v>
      </c>
      <c r="K49" s="82">
        <f>IF(K47-K46&lt;0,0,K47-K46)</f>
        <v>0</v>
      </c>
      <c r="L49" s="70"/>
      <c r="M49" s="527" t="s">
        <v>420</v>
      </c>
      <c r="N49" s="531"/>
      <c r="O49" s="525"/>
      <c r="P49" s="3"/>
      <c r="R49" s="563" t="s">
        <v>16</v>
      </c>
      <c r="S49" s="563" t="s">
        <v>17</v>
      </c>
      <c r="T49" s="563" t="s">
        <v>18</v>
      </c>
      <c r="U49" s="5"/>
      <c r="W49" s="5"/>
      <c r="X49" s="5"/>
      <c r="Y49" s="5"/>
      <c r="Z49" s="5"/>
      <c r="AA49" s="5"/>
      <c r="AB49" s="5"/>
      <c r="AC49" s="5"/>
      <c r="AD49" s="5"/>
      <c r="AE49" s="5"/>
      <c r="AF49" s="5"/>
      <c r="AG49"/>
      <c r="AH49"/>
      <c r="AI49"/>
      <c r="AJ49"/>
      <c r="AK49"/>
      <c r="AL49"/>
      <c r="AM49"/>
      <c r="AN49"/>
      <c r="AO49"/>
      <c r="AP49"/>
      <c r="AQ49"/>
      <c r="AR49"/>
    </row>
    <row r="50" spans="1:44" ht="15.75">
      <c r="A50" s="547"/>
      <c r="B50" s="548"/>
      <c r="C50" s="79"/>
      <c r="D50" s="79"/>
      <c r="E50" s="79"/>
      <c r="F50" s="79"/>
      <c r="G50" s="69"/>
      <c r="H50" s="83" t="s">
        <v>78</v>
      </c>
      <c r="I50" s="81">
        <f>I49/$G$49</f>
        <v>98.37133862464285</v>
      </c>
      <c r="J50" s="81">
        <f>J49/$G$49</f>
        <v>0</v>
      </c>
      <c r="K50" s="84">
        <f>K49/$G$49</f>
        <v>0</v>
      </c>
      <c r="L50" s="70"/>
      <c r="M50" s="527" t="s">
        <v>421</v>
      </c>
      <c r="N50" s="528"/>
      <c r="O50" s="599">
        <f>O30+O48</f>
        <v>431.6544137671075</v>
      </c>
      <c r="P50" s="3"/>
      <c r="R50" s="628">
        <f>I47/(E35*F35)</f>
        <v>1.7804461021731448</v>
      </c>
      <c r="S50" s="628">
        <f>J47/(E35*G35)</f>
        <v>5.5869205263157875</v>
      </c>
      <c r="T50" s="628">
        <f>K47/(E35*H35)</f>
        <v>2.9789396525000003</v>
      </c>
      <c r="U50" s="5"/>
      <c r="V50" s="5"/>
      <c r="W50" s="5"/>
      <c r="X50" s="5"/>
      <c r="Y50" s="5"/>
      <c r="Z50" s="5"/>
      <c r="AA50" s="5"/>
      <c r="AB50" s="5"/>
      <c r="AC50" s="5"/>
      <c r="AD50" s="5"/>
      <c r="AE50" s="5"/>
      <c r="AF50" s="5"/>
      <c r="AG50"/>
      <c r="AH50"/>
      <c r="AI50"/>
      <c r="AJ50"/>
      <c r="AK50"/>
      <c r="AL50"/>
      <c r="AM50"/>
      <c r="AN50"/>
      <c r="AO50"/>
      <c r="AP50"/>
      <c r="AQ50"/>
      <c r="AR50"/>
    </row>
    <row r="51" spans="1:44" ht="15.75">
      <c r="A51" s="78" t="s">
        <v>402</v>
      </c>
      <c r="B51" s="69"/>
      <c r="C51" s="69"/>
      <c r="D51" s="79"/>
      <c r="E51" s="79"/>
      <c r="F51" s="79"/>
      <c r="G51" s="210">
        <f>SUM($D$35:$D$42)</f>
        <v>5.6</v>
      </c>
      <c r="H51" s="80" t="s">
        <v>72</v>
      </c>
      <c r="I51" s="81">
        <f>IF(I46-I47&lt;0,0,I46-I47)</f>
        <v>0</v>
      </c>
      <c r="J51" s="81">
        <f>IF(J46-J47&lt;0,0,J46-J47)</f>
        <v>1.0437420000000088</v>
      </c>
      <c r="K51" s="82">
        <f>IF(K46-K47&lt;0,0,K46-K47)</f>
        <v>943.5817250999996</v>
      </c>
      <c r="L51" s="70"/>
      <c r="M51" s="421" t="s">
        <v>423</v>
      </c>
      <c r="N51" s="203"/>
      <c r="O51" s="221">
        <v>650</v>
      </c>
      <c r="P51" s="3"/>
      <c r="U51" s="5"/>
      <c r="V51" s="5"/>
      <c r="W51" s="5"/>
      <c r="X51" s="5"/>
      <c r="Y51" s="5"/>
      <c r="Z51" s="5"/>
      <c r="AA51" s="5"/>
      <c r="AB51" s="5"/>
      <c r="AC51" s="5"/>
      <c r="AD51" s="5"/>
      <c r="AE51" s="5"/>
      <c r="AF51" s="5"/>
      <c r="AG51"/>
      <c r="AH51"/>
      <c r="AI51"/>
      <c r="AJ51"/>
      <c r="AK51"/>
      <c r="AL51"/>
      <c r="AM51"/>
      <c r="AN51"/>
      <c r="AO51"/>
      <c r="AP51"/>
      <c r="AQ51"/>
      <c r="AR51"/>
    </row>
    <row r="52" spans="1:44" ht="15.75">
      <c r="A52" s="78"/>
      <c r="B52" s="79"/>
      <c r="C52" s="79"/>
      <c r="D52" s="79"/>
      <c r="E52" s="79"/>
      <c r="F52" s="79"/>
      <c r="G52" s="549"/>
      <c r="H52" s="83" t="s">
        <v>78</v>
      </c>
      <c r="I52" s="81">
        <f>I51/$G$51</f>
        <v>0</v>
      </c>
      <c r="J52" s="81">
        <f>J51/$G$51</f>
        <v>0.1863825000000016</v>
      </c>
      <c r="K52" s="82">
        <f>K51/$G$51</f>
        <v>168.49673662499995</v>
      </c>
      <c r="L52" s="70"/>
      <c r="M52" s="15" t="s">
        <v>422</v>
      </c>
      <c r="N52" s="581"/>
      <c r="O52" s="579"/>
      <c r="P52" s="3"/>
      <c r="U52" s="5"/>
      <c r="V52" s="5"/>
      <c r="W52" s="5"/>
      <c r="X52" s="5"/>
      <c r="Y52" s="5"/>
      <c r="Z52" s="5"/>
      <c r="AA52" s="5"/>
      <c r="AB52" s="5"/>
      <c r="AC52" s="5"/>
      <c r="AD52" s="5"/>
      <c r="AE52" s="5"/>
      <c r="AF52" s="5"/>
      <c r="AG52"/>
      <c r="AH52"/>
      <c r="AI52"/>
      <c r="AJ52"/>
      <c r="AK52"/>
      <c r="AL52"/>
      <c r="AM52"/>
      <c r="AN52"/>
      <c r="AO52"/>
      <c r="AP52"/>
      <c r="AQ52"/>
      <c r="AR52"/>
    </row>
    <row r="53" spans="1:44" ht="15.75">
      <c r="A53" s="551"/>
      <c r="B53" s="552"/>
      <c r="C53" s="552"/>
      <c r="D53" s="552"/>
      <c r="E53" s="552"/>
      <c r="F53" s="552"/>
      <c r="G53" s="552"/>
      <c r="H53" s="552"/>
      <c r="I53" s="552"/>
      <c r="J53" s="552"/>
      <c r="K53" s="553"/>
      <c r="L53" s="70"/>
      <c r="M53" s="527" t="s">
        <v>424</v>
      </c>
      <c r="N53" s="558"/>
      <c r="O53" s="580">
        <f>IF(ISERR((O50*1000/O51)/60)," ",(O50*1000/O51)/60)</f>
        <v>11.068061891464293</v>
      </c>
      <c r="P53" s="3"/>
      <c r="R53" s="550"/>
      <c r="S53" s="550"/>
      <c r="T53" s="550"/>
      <c r="U53" s="5"/>
      <c r="V53" s="5"/>
      <c r="W53" s="5"/>
      <c r="X53" s="5"/>
      <c r="Y53" s="5"/>
      <c r="Z53" s="5"/>
      <c r="AA53" s="5"/>
      <c r="AB53" s="5"/>
      <c r="AC53" s="5"/>
      <c r="AD53" s="5"/>
      <c r="AE53" s="5"/>
      <c r="AF53" s="5"/>
      <c r="AG53"/>
      <c r="AH53"/>
      <c r="AI53"/>
      <c r="AJ53"/>
      <c r="AK53"/>
      <c r="AL53"/>
      <c r="AM53"/>
      <c r="AN53"/>
      <c r="AO53"/>
      <c r="AP53"/>
      <c r="AQ53"/>
      <c r="AR53"/>
    </row>
    <row r="54" spans="1:44" ht="15.75">
      <c r="A54" s="78" t="s">
        <v>398</v>
      </c>
      <c r="B54" s="549"/>
      <c r="C54" s="549"/>
      <c r="D54" s="549"/>
      <c r="E54" s="549"/>
      <c r="F54" s="549"/>
      <c r="G54" s="549"/>
      <c r="H54" s="549"/>
      <c r="I54" s="81">
        <f>K21</f>
        <v>604.639496298</v>
      </c>
      <c r="J54" s="81">
        <f>L21</f>
        <v>445.83625799999993</v>
      </c>
      <c r="K54" s="82">
        <f>M21</f>
        <v>1072.4182749000001</v>
      </c>
      <c r="L54" s="70"/>
      <c r="M54" s="192" t="s">
        <v>397</v>
      </c>
      <c r="N54" s="192"/>
      <c r="O54" s="582">
        <v>1400</v>
      </c>
      <c r="P54" s="3"/>
      <c r="R54" s="550"/>
      <c r="S54" s="550"/>
      <c r="T54" s="550"/>
      <c r="U54" s="5"/>
      <c r="V54" s="5"/>
      <c r="W54" s="5"/>
      <c r="X54" s="5"/>
      <c r="Y54" s="5"/>
      <c r="Z54" s="5"/>
      <c r="AA54" s="5"/>
      <c r="AB54" s="5"/>
      <c r="AC54" s="5"/>
      <c r="AD54" s="5"/>
      <c r="AE54" s="5"/>
      <c r="AF54" s="5"/>
      <c r="AG54"/>
      <c r="AH54"/>
      <c r="AI54"/>
      <c r="AJ54"/>
      <c r="AK54"/>
      <c r="AL54"/>
      <c r="AM54"/>
      <c r="AN54"/>
      <c r="AO54"/>
      <c r="AP54"/>
      <c r="AQ54"/>
      <c r="AR54"/>
    </row>
    <row r="55" spans="1:38" ht="15.75">
      <c r="A55" s="78" t="s">
        <v>404</v>
      </c>
      <c r="B55" s="85"/>
      <c r="C55" s="85"/>
      <c r="D55" s="85"/>
      <c r="E55" s="85"/>
      <c r="F55" s="86"/>
      <c r="G55" s="86"/>
      <c r="H55" s="86"/>
      <c r="I55" s="350">
        <f>I54/O50</f>
        <v>1.4007490182278641</v>
      </c>
      <c r="J55" s="350">
        <f>J54/O50</f>
        <v>1.0328546257853024</v>
      </c>
      <c r="K55" s="351">
        <f>K54/O50</f>
        <v>2.484437180986656</v>
      </c>
      <c r="L55" s="70"/>
      <c r="M55" s="192" t="s">
        <v>86</v>
      </c>
      <c r="N55" s="72"/>
      <c r="O55" s="554">
        <f>IF(ISERR((O50*1000)/O54)," ",(O50*1000)/O54)</f>
        <v>308.3245812622196</v>
      </c>
      <c r="P55" s="3"/>
      <c r="Q55" s="19"/>
      <c r="R55" s="559"/>
      <c r="S55" s="559"/>
      <c r="T55" s="559"/>
      <c r="U55" s="5"/>
      <c r="V55" s="5"/>
      <c r="W55" s="5"/>
      <c r="X55" s="5"/>
      <c r="Y55" s="5"/>
      <c r="Z55" s="5"/>
      <c r="AA55" s="5"/>
      <c r="AB55" s="5"/>
      <c r="AC55" s="5"/>
      <c r="AD55" s="5"/>
      <c r="AE55" s="5"/>
      <c r="AF55" s="5"/>
      <c r="AG55"/>
      <c r="AH55" s="19"/>
      <c r="AI55" s="19"/>
      <c r="AJ55" s="19"/>
      <c r="AK55" s="19"/>
      <c r="AL55" s="19"/>
    </row>
    <row r="56" spans="1:38" ht="15.75">
      <c r="A56" s="551"/>
      <c r="B56" s="552"/>
      <c r="C56" s="552"/>
      <c r="D56" s="552"/>
      <c r="E56" s="552"/>
      <c r="F56" s="552"/>
      <c r="G56" s="552"/>
      <c r="H56" s="552"/>
      <c r="I56" s="196"/>
      <c r="J56" s="196"/>
      <c r="K56" s="197"/>
      <c r="L56" s="87"/>
      <c r="M56" s="192" t="s">
        <v>87</v>
      </c>
      <c r="N56" s="72"/>
      <c r="O56" s="555">
        <v>1.25</v>
      </c>
      <c r="P56" s="3"/>
      <c r="Q56" s="19"/>
      <c r="R56" s="550"/>
      <c r="S56" s="550"/>
      <c r="T56" s="550"/>
      <c r="U56" s="5"/>
      <c r="V56" s="5"/>
      <c r="W56" s="5"/>
      <c r="X56" s="5"/>
      <c r="Y56" s="5"/>
      <c r="Z56" s="5"/>
      <c r="AA56" s="5"/>
      <c r="AB56" s="5"/>
      <c r="AC56" s="5"/>
      <c r="AD56" s="5"/>
      <c r="AE56" s="5"/>
      <c r="AF56" s="5"/>
      <c r="AG56" s="19"/>
      <c r="AH56" s="19"/>
      <c r="AI56" s="19"/>
      <c r="AJ56" s="19"/>
      <c r="AK56" s="19"/>
      <c r="AL56" s="19"/>
    </row>
    <row r="57" spans="1:38" ht="15.75">
      <c r="A57" s="90" t="s">
        <v>400</v>
      </c>
      <c r="B57" s="91"/>
      <c r="C57" s="91"/>
      <c r="D57" s="91"/>
      <c r="E57" s="91"/>
      <c r="F57" s="91"/>
      <c r="G57" s="91"/>
      <c r="H57" s="92"/>
      <c r="I57" s="93">
        <f>I47/I46</f>
        <v>11.24701444006694</v>
      </c>
      <c r="J57" s="93">
        <f>J47/J46</f>
        <v>0.9976643796992481</v>
      </c>
      <c r="K57" s="94">
        <f>K47/K46</f>
        <v>0.5319535093750001</v>
      </c>
      <c r="L57" s="87"/>
      <c r="M57" s="556" t="s">
        <v>399</v>
      </c>
      <c r="N57" s="556"/>
      <c r="O57" s="557">
        <f>IF(ISERR(O55/O56)," ",O55/O56)</f>
        <v>246.6596650097757</v>
      </c>
      <c r="P57" s="3"/>
      <c r="Q57" s="411"/>
      <c r="R57" s="550"/>
      <c r="S57" s="550"/>
      <c r="T57" s="550"/>
      <c r="U57" s="5"/>
      <c r="V57" s="5"/>
      <c r="W57" s="5"/>
      <c r="X57" s="5"/>
      <c r="Y57" s="5"/>
      <c r="Z57" s="5"/>
      <c r="AA57" s="5"/>
      <c r="AB57" s="5"/>
      <c r="AC57" s="5"/>
      <c r="AD57" s="5"/>
      <c r="AE57" s="5"/>
      <c r="AF57" s="5"/>
      <c r="AG57" s="19"/>
      <c r="AH57" s="19"/>
      <c r="AI57" s="19"/>
      <c r="AJ57" s="19"/>
      <c r="AK57" s="19"/>
      <c r="AL57" s="19"/>
    </row>
    <row r="58" spans="16:38" ht="15.75">
      <c r="P58" s="3"/>
      <c r="Q58" s="19"/>
      <c r="R58" s="550"/>
      <c r="S58" s="550"/>
      <c r="T58" s="550"/>
      <c r="U58" s="5"/>
      <c r="V58" s="5"/>
      <c r="W58" s="5"/>
      <c r="X58" s="5"/>
      <c r="Y58" s="5"/>
      <c r="Z58" s="5"/>
      <c r="AA58" s="5"/>
      <c r="AB58" s="5"/>
      <c r="AC58" s="5"/>
      <c r="AD58" s="5"/>
      <c r="AE58" s="5"/>
      <c r="AF58" s="5"/>
      <c r="AG58" s="19"/>
      <c r="AH58" s="19"/>
      <c r="AI58" s="19"/>
      <c r="AJ58" s="19"/>
      <c r="AK58" s="19"/>
      <c r="AL58" s="19"/>
    </row>
    <row r="59" spans="16:38" ht="15.75">
      <c r="P59" s="3"/>
      <c r="Q59" s="19"/>
      <c r="R59" s="559"/>
      <c r="S59" s="559"/>
      <c r="T59" s="559"/>
      <c r="U59" s="5"/>
      <c r="V59" s="5"/>
      <c r="W59" s="5"/>
      <c r="X59" s="5"/>
      <c r="Y59" s="5"/>
      <c r="Z59" s="5"/>
      <c r="AA59" s="5"/>
      <c r="AB59" s="5"/>
      <c r="AC59" s="5"/>
      <c r="AD59" s="5"/>
      <c r="AE59" s="5"/>
      <c r="AF59" s="5"/>
      <c r="AG59" s="19"/>
      <c r="AH59" s="19"/>
      <c r="AI59" s="19"/>
      <c r="AJ59" s="19"/>
      <c r="AK59" s="19"/>
      <c r="AL59" s="19"/>
    </row>
    <row r="60" spans="16:38" ht="15.75">
      <c r="P60" s="3"/>
      <c r="Q60" s="19"/>
      <c r="R60" s="550"/>
      <c r="S60" s="550"/>
      <c r="T60" s="550"/>
      <c r="U60" s="5"/>
      <c r="V60" s="5"/>
      <c r="W60" s="5"/>
      <c r="X60" s="5"/>
      <c r="Y60" s="5"/>
      <c r="Z60" s="5"/>
      <c r="AA60" s="5"/>
      <c r="AB60" s="5"/>
      <c r="AC60" s="5"/>
      <c r="AD60" s="5"/>
      <c r="AE60" s="5"/>
      <c r="AF60" s="5"/>
      <c r="AG60" s="19"/>
      <c r="AH60" s="19"/>
      <c r="AI60" s="19"/>
      <c r="AJ60" s="19"/>
      <c r="AK60" s="19"/>
      <c r="AL60" s="19"/>
    </row>
    <row r="61" spans="1:38" ht="15.75">
      <c r="A61" s="2"/>
      <c r="B61" s="2"/>
      <c r="C61" s="2"/>
      <c r="D61" s="2"/>
      <c r="E61" s="2"/>
      <c r="F61" s="2"/>
      <c r="G61" s="2"/>
      <c r="H61" s="2"/>
      <c r="I61" s="2"/>
      <c r="J61" s="2"/>
      <c r="K61" s="2"/>
      <c r="P61" s="3"/>
      <c r="Q61" s="411"/>
      <c r="R61" s="550"/>
      <c r="S61" s="550"/>
      <c r="T61" s="550"/>
      <c r="U61" s="5"/>
      <c r="V61" s="5"/>
      <c r="W61" s="5"/>
      <c r="X61" s="5"/>
      <c r="Y61" s="5"/>
      <c r="Z61" s="5"/>
      <c r="AA61" s="5"/>
      <c r="AB61" s="5"/>
      <c r="AC61" s="5"/>
      <c r="AD61" s="5"/>
      <c r="AE61" s="5"/>
      <c r="AF61" s="5"/>
      <c r="AG61" s="19"/>
      <c r="AH61" s="19"/>
      <c r="AI61" s="19"/>
      <c r="AJ61" s="19"/>
      <c r="AK61" s="19"/>
      <c r="AL61" s="19"/>
    </row>
    <row r="62" spans="1:38" ht="15.75">
      <c r="A62" s="2"/>
      <c r="B62" s="2"/>
      <c r="C62" s="2"/>
      <c r="D62" s="2"/>
      <c r="E62" s="2"/>
      <c r="F62" s="2"/>
      <c r="G62" s="2"/>
      <c r="H62" s="2"/>
      <c r="I62" s="2"/>
      <c r="J62" s="2"/>
      <c r="K62" s="2"/>
      <c r="L62" s="2"/>
      <c r="P62" s="3"/>
      <c r="Q62" s="19"/>
      <c r="R62" s="550"/>
      <c r="S62" s="550"/>
      <c r="T62" s="550"/>
      <c r="U62" s="5"/>
      <c r="V62" s="5"/>
      <c r="W62" s="5"/>
      <c r="X62" s="5"/>
      <c r="Y62" s="5"/>
      <c r="Z62" s="5"/>
      <c r="AA62" s="5"/>
      <c r="AB62" s="5"/>
      <c r="AC62" s="5"/>
      <c r="AD62" s="5"/>
      <c r="AE62" s="5"/>
      <c r="AF62" s="5"/>
      <c r="AG62" s="19"/>
      <c r="AH62" s="19"/>
      <c r="AI62" s="19"/>
      <c r="AJ62" s="19"/>
      <c r="AK62" s="19"/>
      <c r="AL62" s="19"/>
    </row>
    <row r="63" spans="1:38" ht="15.75">
      <c r="A63" s="2"/>
      <c r="B63" s="2"/>
      <c r="C63" s="2"/>
      <c r="D63" s="2"/>
      <c r="E63" s="2"/>
      <c r="F63" s="2"/>
      <c r="G63" s="2"/>
      <c r="H63" s="2"/>
      <c r="I63" s="2"/>
      <c r="J63" s="2"/>
      <c r="K63" s="2"/>
      <c r="L63" s="2"/>
      <c r="P63" s="3"/>
      <c r="Q63" s="19"/>
      <c r="R63" s="550"/>
      <c r="S63" s="550"/>
      <c r="T63" s="550"/>
      <c r="U63" s="5"/>
      <c r="V63" s="5"/>
      <c r="W63" s="5"/>
      <c r="X63" s="5"/>
      <c r="Y63" s="5"/>
      <c r="Z63" s="5"/>
      <c r="AA63" s="5"/>
      <c r="AB63" s="5"/>
      <c r="AC63" s="5"/>
      <c r="AD63" s="5"/>
      <c r="AE63" s="5"/>
      <c r="AF63" s="5"/>
      <c r="AG63" s="19"/>
      <c r="AH63" s="19"/>
      <c r="AI63" s="19"/>
      <c r="AJ63" s="19"/>
      <c r="AK63" s="19"/>
      <c r="AL63" s="19"/>
    </row>
    <row r="64" spans="1:38" ht="15.75">
      <c r="A64" s="2"/>
      <c r="B64" s="2"/>
      <c r="C64" s="2"/>
      <c r="D64" s="2"/>
      <c r="E64" s="2"/>
      <c r="F64" s="2"/>
      <c r="G64" s="2"/>
      <c r="H64" s="2"/>
      <c r="I64" s="2"/>
      <c r="J64" s="2"/>
      <c r="K64" s="2"/>
      <c r="L64" s="2"/>
      <c r="P64" s="3"/>
      <c r="Q64" s="19"/>
      <c r="R64" s="550"/>
      <c r="S64" s="550"/>
      <c r="T64" s="550"/>
      <c r="U64" s="5"/>
      <c r="V64" s="5"/>
      <c r="W64" s="5"/>
      <c r="X64" s="5"/>
      <c r="Y64" s="5"/>
      <c r="Z64" s="5"/>
      <c r="AA64" s="5"/>
      <c r="AB64" s="5"/>
      <c r="AC64" s="5"/>
      <c r="AD64" s="5"/>
      <c r="AE64" s="5"/>
      <c r="AF64" s="5"/>
      <c r="AG64" s="19"/>
      <c r="AH64" s="19"/>
      <c r="AI64" s="19"/>
      <c r="AJ64" s="19"/>
      <c r="AK64" s="19"/>
      <c r="AL64" s="19"/>
    </row>
    <row r="65" spans="1:38" ht="15.75">
      <c r="A65" s="2"/>
      <c r="B65" s="2"/>
      <c r="C65" s="2"/>
      <c r="D65" s="2"/>
      <c r="E65" s="2"/>
      <c r="F65" s="2"/>
      <c r="G65" s="2"/>
      <c r="H65" s="2"/>
      <c r="I65" s="2"/>
      <c r="J65" s="2"/>
      <c r="K65" s="2"/>
      <c r="L65" s="2"/>
      <c r="M65" s="2"/>
      <c r="N65" s="2"/>
      <c r="O65" s="2"/>
      <c r="P65" s="3"/>
      <c r="Q65" s="19"/>
      <c r="R65" s="550"/>
      <c r="S65" s="550"/>
      <c r="T65" s="550"/>
      <c r="U65" s="5"/>
      <c r="V65" s="5"/>
      <c r="W65" s="5"/>
      <c r="X65" s="5"/>
      <c r="Y65" s="5"/>
      <c r="Z65" s="5"/>
      <c r="AA65" s="5"/>
      <c r="AB65" s="5"/>
      <c r="AC65" s="5"/>
      <c r="AD65" s="5"/>
      <c r="AE65" s="5"/>
      <c r="AF65" s="5"/>
      <c r="AG65" s="19"/>
      <c r="AH65" s="19"/>
      <c r="AI65" s="19"/>
      <c r="AJ65" s="19"/>
      <c r="AK65" s="19"/>
      <c r="AL65" s="19"/>
    </row>
    <row r="66" spans="1:38" ht="15.75">
      <c r="A66" s="2"/>
      <c r="B66" s="2"/>
      <c r="C66" s="2"/>
      <c r="D66" s="2"/>
      <c r="E66" s="2"/>
      <c r="F66" s="2"/>
      <c r="G66" s="2"/>
      <c r="H66" s="2"/>
      <c r="I66" s="2"/>
      <c r="J66" s="2"/>
      <c r="K66" s="2"/>
      <c r="L66" s="2"/>
      <c r="M66" s="2"/>
      <c r="N66" s="2"/>
      <c r="O66" s="2"/>
      <c r="P66" s="3"/>
      <c r="Q66" s="19"/>
      <c r="R66" s="5"/>
      <c r="S66" s="5"/>
      <c r="T66" s="5"/>
      <c r="U66" s="5"/>
      <c r="V66" s="5"/>
      <c r="W66" s="5"/>
      <c r="X66" s="5"/>
      <c r="Y66" s="5"/>
      <c r="Z66" s="5"/>
      <c r="AA66" s="5"/>
      <c r="AB66" s="5"/>
      <c r="AC66" s="5"/>
      <c r="AD66" s="5"/>
      <c r="AE66" s="5"/>
      <c r="AF66" s="5"/>
      <c r="AG66" s="19"/>
      <c r="AH66" s="19"/>
      <c r="AI66" s="19"/>
      <c r="AJ66" s="19"/>
      <c r="AK66" s="19"/>
      <c r="AL66" s="19"/>
    </row>
    <row r="67" spans="1:38" ht="15.75">
      <c r="A67" s="2"/>
      <c r="B67" s="2"/>
      <c r="C67" s="2"/>
      <c r="D67" s="2"/>
      <c r="E67" s="2"/>
      <c r="F67" s="2"/>
      <c r="G67" s="2"/>
      <c r="H67" s="2"/>
      <c r="I67" s="2"/>
      <c r="J67" s="2"/>
      <c r="K67" s="2"/>
      <c r="L67" s="2"/>
      <c r="M67" s="2"/>
      <c r="N67" s="2"/>
      <c r="O67" s="2"/>
      <c r="P67" s="3"/>
      <c r="Q67" s="19"/>
      <c r="AF67" s="5"/>
      <c r="AG67" s="19"/>
      <c r="AH67" s="19"/>
      <c r="AI67" s="19"/>
      <c r="AJ67" s="19"/>
      <c r="AK67" s="19"/>
      <c r="AL67" s="19"/>
    </row>
    <row r="68" spans="1:38" ht="15.75">
      <c r="A68" s="2"/>
      <c r="B68" s="2"/>
      <c r="C68" s="2"/>
      <c r="D68" s="2"/>
      <c r="E68" s="2"/>
      <c r="F68" s="2"/>
      <c r="G68" s="2"/>
      <c r="H68" s="2"/>
      <c r="I68" s="2"/>
      <c r="J68" s="2"/>
      <c r="K68" s="2"/>
      <c r="L68" s="2"/>
      <c r="M68" s="2"/>
      <c r="N68" s="2"/>
      <c r="O68" s="2"/>
      <c r="P68" s="3"/>
      <c r="Q68" s="5"/>
      <c r="AF68" s="5"/>
      <c r="AG68" s="19"/>
      <c r="AH68" s="19"/>
      <c r="AI68" s="19"/>
      <c r="AJ68" s="19"/>
      <c r="AK68" s="19"/>
      <c r="AL68" s="19"/>
    </row>
    <row r="69" spans="1:38" ht="15.75">
      <c r="A69" s="2"/>
      <c r="B69" s="2"/>
      <c r="C69" s="2"/>
      <c r="D69" s="2"/>
      <c r="E69" s="2"/>
      <c r="F69" s="2"/>
      <c r="G69" s="2"/>
      <c r="H69" s="2"/>
      <c r="I69" s="2"/>
      <c r="J69" s="2"/>
      <c r="K69" s="2"/>
      <c r="L69" s="2"/>
      <c r="M69" s="2"/>
      <c r="N69" s="2"/>
      <c r="O69" s="2"/>
      <c r="P69" s="3"/>
      <c r="Q69" s="5"/>
      <c r="AF69" s="5"/>
      <c r="AG69" s="19"/>
      <c r="AH69" s="19"/>
      <c r="AI69" s="19"/>
      <c r="AJ69" s="19"/>
      <c r="AK69" s="19"/>
      <c r="AL69" s="19"/>
    </row>
    <row r="70" spans="1:38" ht="15.75">
      <c r="A70" s="2"/>
      <c r="B70" s="2"/>
      <c r="C70" s="2"/>
      <c r="D70" s="2"/>
      <c r="E70" s="2"/>
      <c r="F70" s="2"/>
      <c r="G70" s="2"/>
      <c r="H70" s="2"/>
      <c r="I70" s="2"/>
      <c r="J70" s="2"/>
      <c r="K70" s="2"/>
      <c r="L70" s="2"/>
      <c r="M70" s="2"/>
      <c r="N70" s="2"/>
      <c r="O70" s="2"/>
      <c r="P70" s="3"/>
      <c r="AF70" s="5"/>
      <c r="AG70" s="19"/>
      <c r="AH70" s="19"/>
      <c r="AI70" s="19"/>
      <c r="AJ70" s="19"/>
      <c r="AK70" s="19"/>
      <c r="AL70" s="19"/>
    </row>
    <row r="71" spans="1:38" ht="15.75">
      <c r="A71" s="2"/>
      <c r="B71" s="2"/>
      <c r="C71" s="2"/>
      <c r="D71" s="2"/>
      <c r="E71" s="2"/>
      <c r="F71" s="2"/>
      <c r="G71" s="2"/>
      <c r="H71" s="2"/>
      <c r="I71" s="2"/>
      <c r="J71" s="2"/>
      <c r="K71" s="2"/>
      <c r="L71" s="2"/>
      <c r="M71" s="2"/>
      <c r="N71" s="2"/>
      <c r="O71" s="2"/>
      <c r="P71" s="3"/>
      <c r="AF71" s="5"/>
      <c r="AG71" s="19"/>
      <c r="AH71" s="19"/>
      <c r="AI71" s="19"/>
      <c r="AJ71" s="19"/>
      <c r="AK71" s="19"/>
      <c r="AL71" s="19"/>
    </row>
    <row r="72" spans="1:38" ht="15.75">
      <c r="A72" s="2"/>
      <c r="B72" s="2"/>
      <c r="C72" s="2"/>
      <c r="D72" s="2"/>
      <c r="E72" s="2"/>
      <c r="F72" s="2"/>
      <c r="G72" s="2"/>
      <c r="H72" s="2"/>
      <c r="I72" s="2"/>
      <c r="J72" s="2"/>
      <c r="K72" s="2"/>
      <c r="L72" s="2"/>
      <c r="M72" s="2"/>
      <c r="N72" s="2"/>
      <c r="O72" s="2"/>
      <c r="P72" s="3"/>
      <c r="AF72" s="5"/>
      <c r="AG72" s="19"/>
      <c r="AH72" s="19"/>
      <c r="AI72" s="19"/>
      <c r="AJ72" s="19"/>
      <c r="AK72" s="19"/>
      <c r="AL72" s="19"/>
    </row>
    <row r="73" spans="1:38" ht="15.75">
      <c r="A73" s="2"/>
      <c r="B73" s="2"/>
      <c r="C73" s="2"/>
      <c r="D73" s="2"/>
      <c r="E73" s="2"/>
      <c r="F73" s="2"/>
      <c r="G73" s="2"/>
      <c r="H73" s="2"/>
      <c r="I73" s="2"/>
      <c r="J73" s="2"/>
      <c r="K73" s="2"/>
      <c r="L73" s="2"/>
      <c r="M73" s="2"/>
      <c r="N73" s="2"/>
      <c r="O73" s="2"/>
      <c r="P73" s="3"/>
      <c r="AF73" s="5"/>
      <c r="AG73" s="19"/>
      <c r="AH73" s="19"/>
      <c r="AI73" s="19"/>
      <c r="AJ73" s="19"/>
      <c r="AK73" s="19"/>
      <c r="AL73" s="19"/>
    </row>
    <row r="74" spans="1:38" ht="15.75">
      <c r="A74" s="2"/>
      <c r="B74" s="2"/>
      <c r="C74" s="2"/>
      <c r="D74" s="2"/>
      <c r="E74" s="2"/>
      <c r="F74" s="2"/>
      <c r="G74" s="2"/>
      <c r="H74" s="2"/>
      <c r="I74" s="2"/>
      <c r="J74" s="2"/>
      <c r="K74" s="2"/>
      <c r="L74" s="2"/>
      <c r="M74" s="2"/>
      <c r="N74" s="2"/>
      <c r="O74" s="2"/>
      <c r="P74" s="3"/>
      <c r="AF74" s="5"/>
      <c r="AG74" s="19"/>
      <c r="AH74" s="19"/>
      <c r="AI74" s="19"/>
      <c r="AJ74" s="19"/>
      <c r="AK74" s="19"/>
      <c r="AL74" s="19"/>
    </row>
    <row r="75" spans="1:33" ht="15.75">
      <c r="A75" s="2"/>
      <c r="B75" s="2"/>
      <c r="C75" s="2"/>
      <c r="D75" s="2"/>
      <c r="E75" s="2"/>
      <c r="F75" s="2"/>
      <c r="G75" s="2"/>
      <c r="H75" s="2"/>
      <c r="I75" s="2"/>
      <c r="J75" s="2"/>
      <c r="K75" s="2"/>
      <c r="L75" s="2"/>
      <c r="M75" s="2"/>
      <c r="N75" s="2"/>
      <c r="O75" s="2"/>
      <c r="P75" s="3"/>
      <c r="AF75" s="5"/>
      <c r="AG75" s="19"/>
    </row>
    <row r="76" spans="1:32" ht="15.75">
      <c r="A76" s="2"/>
      <c r="B76" s="2"/>
      <c r="C76" s="2"/>
      <c r="D76" s="2"/>
      <c r="E76" s="2"/>
      <c r="F76" s="2"/>
      <c r="G76" s="2"/>
      <c r="H76" s="2"/>
      <c r="I76" s="2"/>
      <c r="J76" s="2"/>
      <c r="K76" s="2"/>
      <c r="L76" s="2"/>
      <c r="M76" s="2"/>
      <c r="N76" s="2"/>
      <c r="O76" s="2"/>
      <c r="P76" s="3"/>
      <c r="AF76" s="5"/>
    </row>
    <row r="77" spans="1:32" ht="15.75">
      <c r="A77" s="2"/>
      <c r="B77" s="2"/>
      <c r="C77" s="2"/>
      <c r="D77" s="2"/>
      <c r="E77" s="2"/>
      <c r="F77" s="2"/>
      <c r="G77" s="2"/>
      <c r="H77" s="2"/>
      <c r="I77" s="2"/>
      <c r="J77" s="2"/>
      <c r="K77" s="2"/>
      <c r="L77" s="2"/>
      <c r="M77" s="2"/>
      <c r="N77" s="2"/>
      <c r="O77" s="2"/>
      <c r="P77" s="3"/>
      <c r="AF77" s="5"/>
    </row>
    <row r="78" spans="1:32" ht="15.75">
      <c r="A78" s="2"/>
      <c r="B78" s="2"/>
      <c r="C78" s="2"/>
      <c r="D78" s="2"/>
      <c r="E78" s="2"/>
      <c r="F78" s="2"/>
      <c r="G78" s="2"/>
      <c r="H78" s="2"/>
      <c r="I78" s="2"/>
      <c r="J78" s="2"/>
      <c r="K78" s="2"/>
      <c r="L78" s="2"/>
      <c r="M78" s="2"/>
      <c r="N78" s="2"/>
      <c r="O78" s="2"/>
      <c r="P78" s="3"/>
      <c r="AF78" s="5"/>
    </row>
    <row r="79" spans="1:16" ht="15.75">
      <c r="A79" s="2"/>
      <c r="B79" s="2"/>
      <c r="C79" s="2"/>
      <c r="D79" s="2"/>
      <c r="E79" s="2"/>
      <c r="F79" s="2"/>
      <c r="G79" s="2"/>
      <c r="H79" s="2"/>
      <c r="I79" s="2"/>
      <c r="J79" s="2"/>
      <c r="K79" s="2"/>
      <c r="L79" s="2"/>
      <c r="M79" s="2"/>
      <c r="N79" s="2"/>
      <c r="O79" s="2"/>
      <c r="P79" s="3"/>
    </row>
    <row r="80" spans="1:16" ht="15.75">
      <c r="A80" s="2"/>
      <c r="B80" s="2"/>
      <c r="C80" s="2"/>
      <c r="D80" s="2"/>
      <c r="E80" s="2"/>
      <c r="F80" s="2"/>
      <c r="G80" s="2"/>
      <c r="H80" s="2"/>
      <c r="I80" s="2"/>
      <c r="J80" s="2"/>
      <c r="K80" s="2"/>
      <c r="L80" s="2"/>
      <c r="M80" s="2"/>
      <c r="N80" s="2"/>
      <c r="O80" s="2"/>
      <c r="P80" s="3"/>
    </row>
    <row r="81" spans="1:16" ht="15.75">
      <c r="A81" s="2"/>
      <c r="B81" s="2"/>
      <c r="C81" s="2"/>
      <c r="D81" s="2"/>
      <c r="E81" s="2"/>
      <c r="F81" s="2"/>
      <c r="G81" s="2"/>
      <c r="H81" s="2"/>
      <c r="I81" s="2"/>
      <c r="J81" s="2"/>
      <c r="K81" s="2"/>
      <c r="L81" s="2"/>
      <c r="M81" s="2"/>
      <c r="N81" s="2"/>
      <c r="O81" s="2"/>
      <c r="P81" s="3"/>
    </row>
    <row r="82" spans="1:16" ht="15.75">
      <c r="A82" s="2"/>
      <c r="B82" s="2"/>
      <c r="C82" s="2"/>
      <c r="D82" s="2"/>
      <c r="E82" s="2"/>
      <c r="F82" s="2"/>
      <c r="G82" s="2"/>
      <c r="H82" s="2"/>
      <c r="I82" s="2"/>
      <c r="J82" s="2"/>
      <c r="K82" s="2"/>
      <c r="L82" s="2"/>
      <c r="M82" s="2"/>
      <c r="N82" s="2"/>
      <c r="O82" s="2"/>
      <c r="P82" s="3"/>
    </row>
    <row r="83" spans="1:16" ht="15.75">
      <c r="A83" s="2"/>
      <c r="B83" s="2"/>
      <c r="C83" s="2"/>
      <c r="D83" s="2"/>
      <c r="E83" s="2"/>
      <c r="F83" s="2"/>
      <c r="G83" s="2"/>
      <c r="H83" s="2"/>
      <c r="I83" s="2"/>
      <c r="J83" s="2"/>
      <c r="K83" s="2"/>
      <c r="L83" s="2"/>
      <c r="M83" s="2"/>
      <c r="N83" s="2"/>
      <c r="O83" s="2"/>
      <c r="P83" s="3"/>
    </row>
    <row r="84" spans="1:16" ht="15.75">
      <c r="A84" s="2"/>
      <c r="B84" s="2"/>
      <c r="C84" s="2"/>
      <c r="D84" s="2"/>
      <c r="E84" s="2"/>
      <c r="F84" s="2"/>
      <c r="G84" s="2"/>
      <c r="H84" s="2"/>
      <c r="I84" s="2"/>
      <c r="J84" s="2"/>
      <c r="K84" s="2"/>
      <c r="L84" s="2"/>
      <c r="M84" s="2"/>
      <c r="N84" s="2"/>
      <c r="O84" s="2"/>
      <c r="P84" s="3"/>
    </row>
    <row r="85" spans="1:16" ht="15.75">
      <c r="A85" s="2"/>
      <c r="B85" s="2"/>
      <c r="C85" s="2"/>
      <c r="D85" s="2"/>
      <c r="E85" s="2"/>
      <c r="F85" s="2"/>
      <c r="G85" s="2"/>
      <c r="H85" s="2"/>
      <c r="I85" s="2"/>
      <c r="J85" s="2"/>
      <c r="K85" s="2"/>
      <c r="L85" s="2"/>
      <c r="M85" s="2"/>
      <c r="N85" s="2"/>
      <c r="O85" s="2"/>
      <c r="P85" s="3"/>
    </row>
    <row r="86" spans="1:16" ht="15.75">
      <c r="A86" s="2"/>
      <c r="B86" s="2"/>
      <c r="C86" s="2"/>
      <c r="D86" s="2"/>
      <c r="E86" s="2"/>
      <c r="F86" s="2"/>
      <c r="G86" s="2"/>
      <c r="H86" s="2"/>
      <c r="I86" s="2"/>
      <c r="J86" s="2"/>
      <c r="K86" s="2"/>
      <c r="L86" s="2"/>
      <c r="M86" s="2"/>
      <c r="N86" s="2"/>
      <c r="O86" s="2"/>
      <c r="P86" s="3"/>
    </row>
    <row r="87" spans="1:16" ht="15.75">
      <c r="A87" s="2"/>
      <c r="B87" s="2"/>
      <c r="C87" s="2"/>
      <c r="D87" s="2"/>
      <c r="E87" s="2"/>
      <c r="F87" s="2"/>
      <c r="G87" s="2"/>
      <c r="H87" s="2"/>
      <c r="I87" s="2"/>
      <c r="J87" s="2"/>
      <c r="K87" s="2"/>
      <c r="L87" s="2"/>
      <c r="M87" s="2"/>
      <c r="N87" s="2"/>
      <c r="O87" s="2"/>
      <c r="P87" s="3"/>
    </row>
    <row r="88" spans="1:16" ht="15.75">
      <c r="A88" s="2"/>
      <c r="B88" s="2"/>
      <c r="C88" s="2"/>
      <c r="D88" s="2"/>
      <c r="E88" s="2"/>
      <c r="F88" s="2"/>
      <c r="G88" s="2"/>
      <c r="H88" s="2"/>
      <c r="I88" s="2"/>
      <c r="J88" s="2"/>
      <c r="K88" s="2"/>
      <c r="L88" s="2"/>
      <c r="M88" s="2"/>
      <c r="N88" s="2"/>
      <c r="O88" s="2"/>
      <c r="P88" s="3"/>
    </row>
    <row r="89" spans="1:16" ht="15.75">
      <c r="A89" s="2"/>
      <c r="B89" s="2"/>
      <c r="C89" s="2"/>
      <c r="D89" s="2"/>
      <c r="E89" s="2"/>
      <c r="F89" s="2"/>
      <c r="G89" s="2"/>
      <c r="H89" s="2"/>
      <c r="I89" s="2"/>
      <c r="J89" s="2"/>
      <c r="K89" s="2"/>
      <c r="L89" s="2"/>
      <c r="M89" s="2"/>
      <c r="N89" s="2"/>
      <c r="O89" s="2"/>
      <c r="P89" s="3"/>
    </row>
    <row r="90" spans="1:16" ht="15.75">
      <c r="A90" s="2"/>
      <c r="B90" s="2"/>
      <c r="C90" s="2"/>
      <c r="D90" s="2"/>
      <c r="E90" s="2"/>
      <c r="F90" s="2"/>
      <c r="G90" s="2"/>
      <c r="H90" s="2"/>
      <c r="I90" s="2"/>
      <c r="J90" s="2"/>
      <c r="K90" s="2"/>
      <c r="L90" s="2"/>
      <c r="M90" s="2"/>
      <c r="N90" s="2"/>
      <c r="O90" s="2"/>
      <c r="P90" s="3"/>
    </row>
    <row r="91" spans="1:16" ht="15.75">
      <c r="A91" s="2"/>
      <c r="B91" s="2"/>
      <c r="C91" s="2"/>
      <c r="D91" s="2"/>
      <c r="E91" s="2"/>
      <c r="F91" s="2"/>
      <c r="G91" s="2"/>
      <c r="H91" s="2"/>
      <c r="I91" s="2"/>
      <c r="J91" s="2"/>
      <c r="K91" s="2"/>
      <c r="L91" s="2"/>
      <c r="M91" s="2"/>
      <c r="N91" s="2"/>
      <c r="O91" s="2"/>
      <c r="P91" s="3"/>
    </row>
    <row r="92" spans="1:16" ht="15.75">
      <c r="A92" s="2"/>
      <c r="B92" s="2"/>
      <c r="C92" s="2"/>
      <c r="D92" s="2"/>
      <c r="E92" s="2"/>
      <c r="F92" s="2"/>
      <c r="G92" s="2"/>
      <c r="H92" s="2"/>
      <c r="I92" s="2"/>
      <c r="J92" s="2"/>
      <c r="K92" s="2"/>
      <c r="L92" s="2"/>
      <c r="M92" s="2"/>
      <c r="N92" s="2"/>
      <c r="O92" s="2"/>
      <c r="P92" s="3"/>
    </row>
    <row r="93" spans="1:16" ht="15.75">
      <c r="A93" s="2"/>
      <c r="B93" s="2"/>
      <c r="C93" s="2"/>
      <c r="D93" s="2"/>
      <c r="E93" s="2"/>
      <c r="F93" s="2"/>
      <c r="G93" s="2"/>
      <c r="H93" s="2"/>
      <c r="I93" s="2"/>
      <c r="J93" s="2"/>
      <c r="K93" s="2"/>
      <c r="L93" s="2"/>
      <c r="M93" s="2"/>
      <c r="N93" s="2"/>
      <c r="O93" s="2"/>
      <c r="P93" s="3"/>
    </row>
    <row r="94" spans="1:16" ht="15.75">
      <c r="A94" s="2"/>
      <c r="B94" s="2"/>
      <c r="C94" s="2"/>
      <c r="D94" s="2"/>
      <c r="E94" s="2"/>
      <c r="F94" s="2"/>
      <c r="G94" s="2"/>
      <c r="H94" s="2"/>
      <c r="I94" s="2"/>
      <c r="J94" s="2"/>
      <c r="K94" s="2"/>
      <c r="L94" s="2"/>
      <c r="M94" s="2"/>
      <c r="N94" s="2"/>
      <c r="O94" s="2"/>
      <c r="P94" s="3"/>
    </row>
    <row r="95" spans="1:16" ht="15.75">
      <c r="A95" s="2"/>
      <c r="B95" s="2"/>
      <c r="C95" s="2"/>
      <c r="D95" s="2"/>
      <c r="E95" s="2"/>
      <c r="F95" s="2"/>
      <c r="G95" s="2"/>
      <c r="H95" s="2"/>
      <c r="I95" s="2"/>
      <c r="J95" s="2"/>
      <c r="K95" s="2"/>
      <c r="L95" s="2"/>
      <c r="M95" s="2"/>
      <c r="N95" s="2"/>
      <c r="O95" s="2"/>
      <c r="P95" s="3"/>
    </row>
    <row r="96" spans="1:16" ht="15.75">
      <c r="A96" s="2"/>
      <c r="B96" s="2"/>
      <c r="C96" s="2"/>
      <c r="D96" s="2"/>
      <c r="E96" s="2"/>
      <c r="F96" s="2"/>
      <c r="G96" s="2"/>
      <c r="H96" s="2"/>
      <c r="I96" s="2"/>
      <c r="J96" s="2"/>
      <c r="K96" s="2"/>
      <c r="L96" s="2"/>
      <c r="M96" s="2"/>
      <c r="N96" s="2"/>
      <c r="O96" s="2"/>
      <c r="P96" s="3"/>
    </row>
    <row r="97" spans="1:16" ht="15.75">
      <c r="A97" s="2"/>
      <c r="B97" s="2"/>
      <c r="C97" s="2"/>
      <c r="D97" s="2"/>
      <c r="E97" s="2"/>
      <c r="F97" s="2"/>
      <c r="G97" s="2"/>
      <c r="H97" s="2"/>
      <c r="I97" s="2"/>
      <c r="J97" s="2"/>
      <c r="K97" s="2"/>
      <c r="L97" s="2"/>
      <c r="M97" s="2"/>
      <c r="N97" s="2"/>
      <c r="O97" s="2"/>
      <c r="P97" s="3"/>
    </row>
    <row r="98" spans="1:16" ht="15.75">
      <c r="A98" s="2"/>
      <c r="B98" s="2"/>
      <c r="C98" s="2"/>
      <c r="D98" s="2"/>
      <c r="E98" s="2"/>
      <c r="F98" s="2"/>
      <c r="G98" s="2"/>
      <c r="H98" s="2"/>
      <c r="I98" s="2"/>
      <c r="J98" s="2"/>
      <c r="K98" s="2"/>
      <c r="L98" s="2"/>
      <c r="M98" s="2"/>
      <c r="N98" s="2"/>
      <c r="O98" s="2"/>
      <c r="P98" s="3"/>
    </row>
    <row r="99" spans="1:16" ht="15.75">
      <c r="A99" s="2"/>
      <c r="B99" s="2"/>
      <c r="C99" s="2"/>
      <c r="D99" s="2"/>
      <c r="E99" s="2"/>
      <c r="F99" s="2"/>
      <c r="G99" s="2"/>
      <c r="H99" s="2"/>
      <c r="I99" s="2"/>
      <c r="J99" s="2"/>
      <c r="K99" s="2"/>
      <c r="L99" s="2"/>
      <c r="M99" s="2"/>
      <c r="N99" s="2"/>
      <c r="O99" s="2"/>
      <c r="P99" s="3"/>
    </row>
    <row r="100" spans="1:16" ht="15.75">
      <c r="A100" s="2"/>
      <c r="B100" s="2"/>
      <c r="C100" s="2"/>
      <c r="D100" s="2"/>
      <c r="E100" s="2"/>
      <c r="F100" s="2"/>
      <c r="G100" s="2"/>
      <c r="H100" s="2"/>
      <c r="I100" s="2"/>
      <c r="J100" s="2"/>
      <c r="K100" s="2"/>
      <c r="L100" s="2"/>
      <c r="M100" s="2"/>
      <c r="N100" s="2"/>
      <c r="O100" s="2"/>
      <c r="P100" s="3"/>
    </row>
    <row r="101" spans="1:16" ht="15.75">
      <c r="A101" s="2"/>
      <c r="B101" s="2"/>
      <c r="C101" s="2"/>
      <c r="D101" s="2"/>
      <c r="E101" s="2"/>
      <c r="F101" s="2"/>
      <c r="G101" s="2"/>
      <c r="H101" s="2"/>
      <c r="I101" s="2"/>
      <c r="J101" s="2"/>
      <c r="K101" s="2"/>
      <c r="L101" s="2"/>
      <c r="M101" s="2"/>
      <c r="N101" s="2"/>
      <c r="O101" s="2"/>
      <c r="P101" s="3"/>
    </row>
    <row r="102" spans="1:16" ht="15.75">
      <c r="A102" s="2"/>
      <c r="B102" s="2"/>
      <c r="C102" s="2"/>
      <c r="D102" s="2"/>
      <c r="E102" s="2"/>
      <c r="F102" s="2"/>
      <c r="G102" s="2"/>
      <c r="H102" s="2"/>
      <c r="I102" s="2"/>
      <c r="J102" s="2"/>
      <c r="K102" s="2"/>
      <c r="L102" s="2"/>
      <c r="M102" s="2"/>
      <c r="N102" s="2"/>
      <c r="O102" s="2"/>
      <c r="P102" s="3"/>
    </row>
    <row r="103" spans="1:16" ht="15.75">
      <c r="A103" s="2"/>
      <c r="B103" s="2"/>
      <c r="C103" s="2"/>
      <c r="D103" s="2"/>
      <c r="E103" s="2"/>
      <c r="F103" s="2"/>
      <c r="G103" s="2"/>
      <c r="H103" s="2"/>
      <c r="I103" s="2"/>
      <c r="J103" s="2"/>
      <c r="K103" s="2"/>
      <c r="L103" s="2"/>
      <c r="M103" s="2"/>
      <c r="N103" s="2"/>
      <c r="O103" s="2"/>
      <c r="P103" s="3"/>
    </row>
    <row r="104" spans="1:15" ht="12.75">
      <c r="A104" s="2"/>
      <c r="B104" s="2"/>
      <c r="C104" s="2"/>
      <c r="D104" s="2"/>
      <c r="E104" s="2"/>
      <c r="F104" s="2"/>
      <c r="G104" s="2"/>
      <c r="H104" s="2"/>
      <c r="I104" s="2"/>
      <c r="J104" s="2"/>
      <c r="K104" s="2"/>
      <c r="L104" s="2"/>
      <c r="M104" s="2"/>
      <c r="N104" s="2"/>
      <c r="O104" s="2"/>
    </row>
    <row r="105" spans="1:15" ht="12.75">
      <c r="A105" s="2"/>
      <c r="B105" s="2"/>
      <c r="C105" s="2"/>
      <c r="D105" s="2"/>
      <c r="E105" s="2"/>
      <c r="F105" s="2"/>
      <c r="G105" s="2"/>
      <c r="H105" s="2"/>
      <c r="I105" s="2"/>
      <c r="J105" s="2"/>
      <c r="K105" s="2"/>
      <c r="L105" s="2"/>
      <c r="M105" s="2"/>
      <c r="N105" s="2"/>
      <c r="O105" s="2"/>
    </row>
    <row r="106" spans="1:15" ht="12.75">
      <c r="A106" s="2"/>
      <c r="B106" s="2"/>
      <c r="C106" s="2"/>
      <c r="D106" s="2"/>
      <c r="E106" s="2"/>
      <c r="F106" s="2"/>
      <c r="G106" s="2"/>
      <c r="H106" s="2"/>
      <c r="I106" s="2"/>
      <c r="J106" s="2"/>
      <c r="K106" s="2"/>
      <c r="L106" s="2"/>
      <c r="M106" s="2"/>
      <c r="N106" s="2"/>
      <c r="O106" s="2"/>
    </row>
    <row r="107" spans="1:15" ht="12.75">
      <c r="A107" s="2"/>
      <c r="B107" s="2"/>
      <c r="C107" s="2"/>
      <c r="D107" s="2"/>
      <c r="E107" s="2"/>
      <c r="F107" s="2"/>
      <c r="G107" s="2"/>
      <c r="H107" s="2"/>
      <c r="I107" s="2"/>
      <c r="J107" s="2"/>
      <c r="K107" s="2"/>
      <c r="L107" s="2"/>
      <c r="M107" s="2"/>
      <c r="N107" s="2"/>
      <c r="O107" s="2"/>
    </row>
    <row r="108" spans="1:15" ht="12.75">
      <c r="A108" s="2"/>
      <c r="B108" s="2"/>
      <c r="C108" s="2"/>
      <c r="D108" s="2"/>
      <c r="E108" s="2"/>
      <c r="F108" s="2"/>
      <c r="G108" s="2"/>
      <c r="H108" s="2"/>
      <c r="I108" s="2"/>
      <c r="J108" s="2"/>
      <c r="K108" s="2"/>
      <c r="L108" s="2"/>
      <c r="M108" s="2"/>
      <c r="N108" s="2"/>
      <c r="O108" s="2"/>
    </row>
    <row r="109" spans="1:15" ht="12.75">
      <c r="A109" s="2"/>
      <c r="B109" s="2"/>
      <c r="C109" s="2"/>
      <c r="D109" s="2"/>
      <c r="E109" s="2"/>
      <c r="F109" s="2"/>
      <c r="G109" s="2"/>
      <c r="H109" s="2"/>
      <c r="I109" s="2"/>
      <c r="J109" s="2"/>
      <c r="K109" s="2"/>
      <c r="L109" s="2"/>
      <c r="M109" s="2"/>
      <c r="N109" s="2"/>
      <c r="O109" s="2"/>
    </row>
    <row r="110" spans="1:15" ht="12.75">
      <c r="A110" s="2"/>
      <c r="B110" s="2"/>
      <c r="C110" s="2"/>
      <c r="D110" s="2"/>
      <c r="E110" s="2"/>
      <c r="F110" s="2"/>
      <c r="G110" s="2"/>
      <c r="H110" s="2"/>
      <c r="I110" s="2"/>
      <c r="J110" s="2"/>
      <c r="K110" s="2"/>
      <c r="L110" s="2"/>
      <c r="M110" s="2"/>
      <c r="N110" s="2"/>
      <c r="O110" s="2"/>
    </row>
    <row r="111" spans="1:15" ht="12.75">
      <c r="A111" s="2"/>
      <c r="B111" s="2"/>
      <c r="C111" s="2"/>
      <c r="D111" s="2"/>
      <c r="E111" s="2"/>
      <c r="F111" s="2"/>
      <c r="G111" s="2"/>
      <c r="H111" s="2"/>
      <c r="I111" s="2"/>
      <c r="J111" s="2"/>
      <c r="K111" s="2"/>
      <c r="L111" s="2"/>
      <c r="M111" s="2"/>
      <c r="N111" s="2"/>
      <c r="O111" s="2"/>
    </row>
    <row r="112" spans="1:15" ht="12.75">
      <c r="A112" s="2"/>
      <c r="B112" s="2"/>
      <c r="C112" s="2"/>
      <c r="D112" s="2"/>
      <c r="E112" s="2"/>
      <c r="F112" s="2"/>
      <c r="G112" s="2"/>
      <c r="H112" s="2"/>
      <c r="I112" s="2"/>
      <c r="J112" s="2"/>
      <c r="K112" s="2"/>
      <c r="L112" s="2"/>
      <c r="M112" s="2"/>
      <c r="N112" s="2"/>
      <c r="O112" s="2"/>
    </row>
    <row r="113" spans="1:15" ht="12.75">
      <c r="A113" s="2"/>
      <c r="B113" s="2"/>
      <c r="C113" s="2"/>
      <c r="D113" s="2"/>
      <c r="E113" s="2"/>
      <c r="F113" s="2"/>
      <c r="G113" s="2"/>
      <c r="H113" s="2"/>
      <c r="I113" s="2"/>
      <c r="J113" s="2"/>
      <c r="K113" s="2"/>
      <c r="L113" s="2"/>
      <c r="M113" s="2"/>
      <c r="N113" s="2"/>
      <c r="O113" s="2"/>
    </row>
    <row r="114" spans="12:15" ht="12.75">
      <c r="L114" s="2"/>
      <c r="M114" s="2"/>
      <c r="N114" s="2"/>
      <c r="O114" s="2"/>
    </row>
    <row r="120" spans="1:11" ht="12.75">
      <c r="A120" s="2"/>
      <c r="B120" s="2"/>
      <c r="C120" s="2"/>
      <c r="D120" s="2"/>
      <c r="E120" s="2"/>
      <c r="F120" s="2"/>
      <c r="G120" s="2"/>
      <c r="H120" s="2"/>
      <c r="I120" s="2"/>
      <c r="J120" s="2"/>
      <c r="K120" s="2"/>
    </row>
    <row r="121" spans="1:14" ht="12.75">
      <c r="A121" s="2"/>
      <c r="B121" s="2"/>
      <c r="C121" s="2"/>
      <c r="D121" s="2"/>
      <c r="E121" s="2"/>
      <c r="F121" s="2"/>
      <c r="G121" s="2"/>
      <c r="H121" s="2"/>
      <c r="I121" s="2"/>
      <c r="J121" s="2"/>
      <c r="K121" s="2"/>
      <c r="L121" s="2"/>
      <c r="M121" s="2"/>
      <c r="N121" s="2"/>
    </row>
    <row r="122" spans="1:14" ht="12.75">
      <c r="A122" s="2"/>
      <c r="B122" s="2"/>
      <c r="C122" s="2"/>
      <c r="D122" s="2"/>
      <c r="E122" s="2"/>
      <c r="F122" s="2"/>
      <c r="G122" s="2"/>
      <c r="H122" s="2"/>
      <c r="I122" s="2"/>
      <c r="J122" s="2"/>
      <c r="K122" s="2"/>
      <c r="L122" s="2"/>
      <c r="M122" s="2"/>
      <c r="N122" s="2"/>
    </row>
    <row r="123" spans="1:14" ht="12.75">
      <c r="A123" s="2"/>
      <c r="B123" s="2"/>
      <c r="C123" s="2"/>
      <c r="D123" s="2"/>
      <c r="E123" s="2"/>
      <c r="F123" s="2"/>
      <c r="G123" s="2"/>
      <c r="H123" s="2"/>
      <c r="I123" s="2"/>
      <c r="J123" s="2"/>
      <c r="K123" s="2"/>
      <c r="L123" s="2"/>
      <c r="M123" s="2"/>
      <c r="N123" s="2"/>
    </row>
    <row r="124" spans="1:14" ht="12.75">
      <c r="A124" s="2"/>
      <c r="B124" s="2"/>
      <c r="C124" s="2"/>
      <c r="D124" s="2"/>
      <c r="E124" s="2"/>
      <c r="F124" s="2"/>
      <c r="G124" s="2"/>
      <c r="H124" s="2"/>
      <c r="I124" s="2"/>
      <c r="J124" s="2"/>
      <c r="K124" s="2"/>
      <c r="L124" s="2"/>
      <c r="M124" s="2"/>
      <c r="N124" s="2"/>
    </row>
    <row r="125" spans="1:14" ht="12.75">
      <c r="A125" s="2"/>
      <c r="B125" s="2"/>
      <c r="C125" s="2"/>
      <c r="D125" s="2"/>
      <c r="E125" s="2"/>
      <c r="F125" s="2"/>
      <c r="G125" s="2"/>
      <c r="H125" s="2"/>
      <c r="I125" s="2"/>
      <c r="J125" s="2"/>
      <c r="K125" s="2"/>
      <c r="L125" s="2"/>
      <c r="M125" s="2"/>
      <c r="N125" s="2"/>
    </row>
    <row r="126" spans="1:14" ht="12.75">
      <c r="A126" s="2"/>
      <c r="B126" s="2"/>
      <c r="C126" s="2"/>
      <c r="D126" s="2"/>
      <c r="E126" s="2"/>
      <c r="F126" s="2"/>
      <c r="G126" s="2"/>
      <c r="H126" s="2"/>
      <c r="I126" s="2"/>
      <c r="J126" s="2"/>
      <c r="K126" s="2"/>
      <c r="L126" s="2"/>
      <c r="M126" s="2"/>
      <c r="N126" s="2"/>
    </row>
    <row r="127" spans="1:14" ht="12.75">
      <c r="A127" s="2"/>
      <c r="B127" s="2"/>
      <c r="C127" s="2"/>
      <c r="D127" s="2"/>
      <c r="E127" s="2"/>
      <c r="F127" s="2"/>
      <c r="G127" s="2"/>
      <c r="H127" s="2"/>
      <c r="I127" s="2"/>
      <c r="J127" s="2"/>
      <c r="K127" s="2"/>
      <c r="L127" s="2"/>
      <c r="M127" s="2"/>
      <c r="N127" s="2"/>
    </row>
    <row r="128" spans="1:14" ht="12.75">
      <c r="A128" s="2"/>
      <c r="B128" s="2"/>
      <c r="C128" s="2"/>
      <c r="D128" s="2"/>
      <c r="E128" s="2"/>
      <c r="F128" s="2"/>
      <c r="G128" s="2"/>
      <c r="H128" s="2"/>
      <c r="I128" s="2"/>
      <c r="J128" s="2"/>
      <c r="K128" s="2"/>
      <c r="L128" s="2"/>
      <c r="M128" s="2"/>
      <c r="N128" s="2"/>
    </row>
    <row r="129" spans="1:14" ht="12.75">
      <c r="A129" s="2"/>
      <c r="B129" s="2"/>
      <c r="C129" s="2"/>
      <c r="D129" s="2"/>
      <c r="E129" s="2"/>
      <c r="F129" s="2"/>
      <c r="G129" s="2"/>
      <c r="H129" s="2"/>
      <c r="I129" s="2"/>
      <c r="J129" s="2"/>
      <c r="K129" s="2"/>
      <c r="L129" s="2"/>
      <c r="M129" s="2"/>
      <c r="N129" s="2"/>
    </row>
    <row r="130" spans="1:14" ht="12.75">
      <c r="A130" s="2"/>
      <c r="B130" s="2"/>
      <c r="C130" s="2"/>
      <c r="D130" s="2"/>
      <c r="E130" s="2"/>
      <c r="F130" s="2"/>
      <c r="G130" s="2"/>
      <c r="H130" s="2"/>
      <c r="I130" s="2"/>
      <c r="J130" s="2"/>
      <c r="K130" s="2"/>
      <c r="L130" s="2"/>
      <c r="M130" s="2"/>
      <c r="N130" s="2"/>
    </row>
    <row r="131" spans="1:14" ht="12.75">
      <c r="A131" s="2"/>
      <c r="B131" s="2"/>
      <c r="C131" s="2"/>
      <c r="D131" s="2"/>
      <c r="E131" s="2"/>
      <c r="F131" s="2"/>
      <c r="G131" s="2"/>
      <c r="H131" s="2"/>
      <c r="I131" s="2"/>
      <c r="J131" s="2"/>
      <c r="K131" s="2"/>
      <c r="L131" s="2"/>
      <c r="M131" s="2"/>
      <c r="N131" s="2"/>
    </row>
    <row r="132" spans="1:14" ht="12.75">
      <c r="A132" s="2"/>
      <c r="B132" s="2"/>
      <c r="C132" s="2"/>
      <c r="D132" s="2"/>
      <c r="E132" s="2"/>
      <c r="F132" s="2"/>
      <c r="G132" s="2"/>
      <c r="H132" s="2"/>
      <c r="I132" s="2"/>
      <c r="J132" s="2"/>
      <c r="K132" s="2"/>
      <c r="L132" s="2"/>
      <c r="M132" s="2"/>
      <c r="N132" s="2"/>
    </row>
    <row r="133" spans="1:14" ht="12.75">
      <c r="A133" s="2"/>
      <c r="B133" s="2"/>
      <c r="C133" s="2"/>
      <c r="D133" s="2"/>
      <c r="E133" s="2"/>
      <c r="F133" s="2"/>
      <c r="G133" s="2"/>
      <c r="H133" s="2"/>
      <c r="I133" s="2"/>
      <c r="J133" s="2"/>
      <c r="K133" s="2"/>
      <c r="L133" s="2"/>
      <c r="M133" s="2"/>
      <c r="N133" s="2"/>
    </row>
    <row r="134" spans="1:14" ht="12.75">
      <c r="A134" s="2"/>
      <c r="B134" s="2"/>
      <c r="C134" s="2"/>
      <c r="D134" s="2"/>
      <c r="E134" s="2"/>
      <c r="F134" s="2"/>
      <c r="G134" s="2"/>
      <c r="H134" s="2"/>
      <c r="I134" s="2"/>
      <c r="J134" s="2"/>
      <c r="K134" s="2"/>
      <c r="L134" s="2"/>
      <c r="M134" s="2"/>
      <c r="N134" s="2"/>
    </row>
    <row r="135" spans="1:14" ht="12.75">
      <c r="A135" s="2"/>
      <c r="B135" s="2"/>
      <c r="C135" s="2"/>
      <c r="D135" s="2"/>
      <c r="E135" s="2"/>
      <c r="F135" s="2"/>
      <c r="G135" s="2"/>
      <c r="H135" s="2"/>
      <c r="I135" s="2"/>
      <c r="J135" s="2"/>
      <c r="K135" s="2"/>
      <c r="L135" s="2"/>
      <c r="M135" s="2"/>
      <c r="N135" s="2"/>
    </row>
    <row r="136" spans="1:14" ht="12.75">
      <c r="A136" s="2"/>
      <c r="B136" s="2"/>
      <c r="C136" s="2"/>
      <c r="D136" s="2"/>
      <c r="E136" s="2"/>
      <c r="F136" s="2"/>
      <c r="G136" s="2"/>
      <c r="H136" s="2"/>
      <c r="I136" s="2"/>
      <c r="J136" s="2"/>
      <c r="K136" s="2"/>
      <c r="L136" s="2"/>
      <c r="M136" s="2"/>
      <c r="N136" s="2"/>
    </row>
    <row r="137" spans="1:14" ht="12.75">
      <c r="A137" s="2"/>
      <c r="B137" s="2"/>
      <c r="C137" s="2"/>
      <c r="D137" s="2"/>
      <c r="E137" s="2"/>
      <c r="F137" s="2"/>
      <c r="G137" s="2"/>
      <c r="H137" s="2"/>
      <c r="I137" s="2"/>
      <c r="J137" s="2"/>
      <c r="K137" s="2"/>
      <c r="L137" s="2"/>
      <c r="M137" s="2"/>
      <c r="N137" s="2"/>
    </row>
    <row r="138" spans="1:14" ht="12.75">
      <c r="A138" s="2"/>
      <c r="B138" s="2"/>
      <c r="C138" s="2"/>
      <c r="D138" s="2"/>
      <c r="E138" s="2"/>
      <c r="F138" s="2"/>
      <c r="G138" s="2"/>
      <c r="H138" s="2"/>
      <c r="I138" s="2"/>
      <c r="J138" s="2"/>
      <c r="K138" s="2"/>
      <c r="L138" s="2"/>
      <c r="M138" s="2"/>
      <c r="N138" s="2"/>
    </row>
    <row r="139" spans="1:14" ht="12.75">
      <c r="A139" s="2"/>
      <c r="B139" s="2"/>
      <c r="C139" s="2"/>
      <c r="D139" s="2"/>
      <c r="E139" s="2"/>
      <c r="F139" s="2"/>
      <c r="G139" s="2"/>
      <c r="H139" s="2"/>
      <c r="I139" s="2"/>
      <c r="J139" s="2"/>
      <c r="K139" s="2"/>
      <c r="L139" s="2"/>
      <c r="M139" s="2"/>
      <c r="N139" s="2"/>
    </row>
    <row r="140" spans="1:14" ht="12.75">
      <c r="A140" s="2"/>
      <c r="B140" s="2"/>
      <c r="C140" s="2"/>
      <c r="D140" s="2"/>
      <c r="E140" s="2"/>
      <c r="F140" s="2"/>
      <c r="G140" s="2"/>
      <c r="H140" s="2"/>
      <c r="I140" s="2"/>
      <c r="J140" s="2"/>
      <c r="K140" s="2"/>
      <c r="L140" s="2"/>
      <c r="M140" s="2"/>
      <c r="N140" s="2"/>
    </row>
    <row r="141" spans="1:14" ht="12.75">
      <c r="A141" s="2"/>
      <c r="B141" s="2"/>
      <c r="C141" s="2"/>
      <c r="D141" s="2"/>
      <c r="E141" s="2"/>
      <c r="F141" s="2"/>
      <c r="G141" s="2"/>
      <c r="H141" s="2"/>
      <c r="I141" s="2"/>
      <c r="J141" s="2"/>
      <c r="K141" s="2"/>
      <c r="L141" s="2"/>
      <c r="M141" s="2"/>
      <c r="N141" s="2"/>
    </row>
    <row r="142" spans="1:14" ht="12.75">
      <c r="A142" s="2"/>
      <c r="B142" s="2"/>
      <c r="C142" s="2"/>
      <c r="D142" s="2"/>
      <c r="E142" s="2"/>
      <c r="F142" s="2"/>
      <c r="G142" s="2"/>
      <c r="H142" s="2"/>
      <c r="I142" s="2"/>
      <c r="J142" s="2"/>
      <c r="K142" s="2"/>
      <c r="L142" s="2"/>
      <c r="M142" s="2"/>
      <c r="N142" s="2"/>
    </row>
    <row r="143" spans="1:14" ht="12.75">
      <c r="A143" s="2"/>
      <c r="B143" s="2"/>
      <c r="C143" s="2"/>
      <c r="D143" s="2"/>
      <c r="E143" s="2"/>
      <c r="F143" s="2"/>
      <c r="G143" s="2"/>
      <c r="H143" s="2"/>
      <c r="I143" s="2"/>
      <c r="J143" s="2"/>
      <c r="K143" s="2"/>
      <c r="L143" s="2"/>
      <c r="M143" s="2"/>
      <c r="N143" s="2"/>
    </row>
    <row r="144" spans="1:14" ht="12.75">
      <c r="A144" s="2"/>
      <c r="B144" s="2"/>
      <c r="C144" s="2"/>
      <c r="D144" s="2"/>
      <c r="E144" s="2"/>
      <c r="F144" s="2"/>
      <c r="G144" s="2"/>
      <c r="H144" s="2"/>
      <c r="I144" s="2"/>
      <c r="J144" s="2"/>
      <c r="K144" s="2"/>
      <c r="L144" s="2"/>
      <c r="M144" s="2"/>
      <c r="N144" s="2"/>
    </row>
    <row r="145" spans="1:14" ht="12.75">
      <c r="A145" s="2"/>
      <c r="B145" s="2"/>
      <c r="C145" s="2"/>
      <c r="D145" s="2"/>
      <c r="E145" s="2"/>
      <c r="F145" s="2"/>
      <c r="G145" s="2"/>
      <c r="H145" s="2"/>
      <c r="I145" s="2"/>
      <c r="J145" s="2"/>
      <c r="K145" s="2"/>
      <c r="L145" s="2"/>
      <c r="M145" s="2"/>
      <c r="N145" s="2"/>
    </row>
    <row r="146" spans="1:14" ht="12.75">
      <c r="A146" s="2"/>
      <c r="B146" s="2"/>
      <c r="C146" s="2"/>
      <c r="D146" s="2"/>
      <c r="E146" s="2"/>
      <c r="F146" s="2"/>
      <c r="G146" s="2"/>
      <c r="H146" s="2"/>
      <c r="I146" s="2"/>
      <c r="J146" s="2"/>
      <c r="K146" s="2"/>
      <c r="L146" s="2"/>
      <c r="M146" s="2"/>
      <c r="N146" s="2"/>
    </row>
    <row r="147" spans="1:14" ht="12.75">
      <c r="A147" s="2"/>
      <c r="B147" s="2"/>
      <c r="C147" s="2"/>
      <c r="D147" s="2"/>
      <c r="E147" s="2"/>
      <c r="F147" s="2"/>
      <c r="G147" s="2"/>
      <c r="H147" s="2"/>
      <c r="I147" s="2"/>
      <c r="J147" s="2"/>
      <c r="K147" s="2"/>
      <c r="L147" s="2"/>
      <c r="M147" s="2"/>
      <c r="N147" s="2"/>
    </row>
    <row r="148" spans="1:14" ht="12.75">
      <c r="A148" s="2"/>
      <c r="B148" s="2"/>
      <c r="C148" s="2"/>
      <c r="D148" s="2"/>
      <c r="E148" s="2"/>
      <c r="F148" s="2"/>
      <c r="G148" s="2"/>
      <c r="H148" s="2"/>
      <c r="I148" s="2"/>
      <c r="J148" s="2"/>
      <c r="K148" s="2"/>
      <c r="L148" s="2"/>
      <c r="M148" s="2"/>
      <c r="N148" s="2"/>
    </row>
    <row r="149" spans="1:14" ht="12.75">
      <c r="A149" s="2"/>
      <c r="B149" s="2"/>
      <c r="C149" s="2"/>
      <c r="D149" s="2"/>
      <c r="E149" s="2"/>
      <c r="F149" s="2"/>
      <c r="G149" s="2"/>
      <c r="H149" s="2"/>
      <c r="I149" s="2"/>
      <c r="J149" s="2"/>
      <c r="K149" s="2"/>
      <c r="L149" s="2"/>
      <c r="M149" s="2"/>
      <c r="N149" s="2"/>
    </row>
    <row r="150" spans="1:14" ht="12.75">
      <c r="A150" s="2"/>
      <c r="B150" s="2"/>
      <c r="C150" s="2"/>
      <c r="D150" s="2"/>
      <c r="E150" s="2"/>
      <c r="F150" s="2"/>
      <c r="G150" s="2"/>
      <c r="H150" s="2"/>
      <c r="I150" s="2"/>
      <c r="J150" s="2"/>
      <c r="K150" s="2"/>
      <c r="L150" s="2"/>
      <c r="M150" s="2"/>
      <c r="N150" s="2"/>
    </row>
    <row r="151" spans="1:14" ht="12.75">
      <c r="A151" s="2"/>
      <c r="B151" s="2"/>
      <c r="C151" s="2"/>
      <c r="D151" s="2"/>
      <c r="E151" s="2"/>
      <c r="F151" s="2"/>
      <c r="G151" s="2"/>
      <c r="H151" s="2"/>
      <c r="I151" s="2"/>
      <c r="J151" s="2"/>
      <c r="K151" s="2"/>
      <c r="L151" s="2"/>
      <c r="M151" s="2"/>
      <c r="N151" s="2"/>
    </row>
    <row r="152" spans="1:14" ht="12.75">
      <c r="A152" s="2"/>
      <c r="B152" s="2"/>
      <c r="C152" s="2"/>
      <c r="D152" s="2"/>
      <c r="E152" s="2"/>
      <c r="F152" s="2"/>
      <c r="G152" s="2"/>
      <c r="H152" s="2"/>
      <c r="I152" s="2"/>
      <c r="J152" s="2"/>
      <c r="K152" s="2"/>
      <c r="L152" s="2"/>
      <c r="M152" s="2"/>
      <c r="N152" s="2"/>
    </row>
    <row r="153" spans="1:14" ht="12.75">
      <c r="A153" s="2"/>
      <c r="B153" s="2"/>
      <c r="C153" s="2"/>
      <c r="D153" s="2"/>
      <c r="E153" s="2"/>
      <c r="F153" s="2"/>
      <c r="G153" s="2"/>
      <c r="H153" s="2"/>
      <c r="I153" s="2"/>
      <c r="J153" s="2"/>
      <c r="K153" s="2"/>
      <c r="L153" s="2"/>
      <c r="M153" s="2"/>
      <c r="N153" s="2"/>
    </row>
    <row r="154" spans="1:14" ht="12.75">
      <c r="A154" s="2"/>
      <c r="B154" s="2"/>
      <c r="C154" s="2"/>
      <c r="D154" s="2"/>
      <c r="E154" s="2"/>
      <c r="F154" s="2"/>
      <c r="G154" s="2"/>
      <c r="H154" s="2"/>
      <c r="I154" s="2"/>
      <c r="J154" s="2"/>
      <c r="K154" s="2"/>
      <c r="L154" s="2"/>
      <c r="M154" s="2"/>
      <c r="N154" s="2"/>
    </row>
    <row r="155" spans="1:14" ht="12.75">
      <c r="A155" s="2"/>
      <c r="B155" s="2"/>
      <c r="C155" s="2"/>
      <c r="D155" s="2"/>
      <c r="E155" s="2"/>
      <c r="F155" s="2"/>
      <c r="G155" s="2"/>
      <c r="H155" s="2"/>
      <c r="I155" s="2"/>
      <c r="J155" s="2"/>
      <c r="K155" s="2"/>
      <c r="L155" s="2"/>
      <c r="M155" s="2"/>
      <c r="N155" s="2"/>
    </row>
    <row r="156" spans="1:14" ht="12.75">
      <c r="A156" s="2"/>
      <c r="B156" s="2"/>
      <c r="C156" s="2"/>
      <c r="D156" s="2"/>
      <c r="E156" s="2"/>
      <c r="F156" s="2"/>
      <c r="G156" s="2"/>
      <c r="H156" s="2"/>
      <c r="I156" s="2"/>
      <c r="J156" s="2"/>
      <c r="K156" s="2"/>
      <c r="L156" s="2"/>
      <c r="M156" s="2"/>
      <c r="N156" s="2"/>
    </row>
    <row r="157" spans="1:14" ht="12.75">
      <c r="A157" s="2"/>
      <c r="B157" s="2"/>
      <c r="C157" s="2"/>
      <c r="D157" s="2"/>
      <c r="E157" s="2"/>
      <c r="F157" s="2"/>
      <c r="G157" s="2"/>
      <c r="H157" s="2"/>
      <c r="I157" s="2"/>
      <c r="J157" s="2"/>
      <c r="K157" s="2"/>
      <c r="L157" s="2"/>
      <c r="M157" s="2"/>
      <c r="N157" s="2"/>
    </row>
    <row r="158" spans="1:14" ht="12.75">
      <c r="A158" s="2"/>
      <c r="B158" s="2"/>
      <c r="C158" s="2"/>
      <c r="D158" s="2"/>
      <c r="E158" s="2"/>
      <c r="F158" s="2"/>
      <c r="G158" s="2"/>
      <c r="H158" s="2"/>
      <c r="I158" s="2"/>
      <c r="J158" s="2"/>
      <c r="K158" s="2"/>
      <c r="L158" s="2"/>
      <c r="M158" s="2"/>
      <c r="N158" s="2"/>
    </row>
    <row r="159" spans="1:14" ht="12.75">
      <c r="A159" s="2"/>
      <c r="B159" s="2"/>
      <c r="C159" s="2"/>
      <c r="D159" s="2"/>
      <c r="E159" s="2"/>
      <c r="F159" s="2"/>
      <c r="G159" s="2"/>
      <c r="H159" s="2"/>
      <c r="I159" s="2"/>
      <c r="J159" s="2"/>
      <c r="K159" s="2"/>
      <c r="L159" s="2"/>
      <c r="M159" s="2"/>
      <c r="N159" s="2"/>
    </row>
    <row r="160" spans="1:14" ht="12.75">
      <c r="A160" s="2"/>
      <c r="B160" s="2"/>
      <c r="C160" s="2"/>
      <c r="D160" s="2"/>
      <c r="E160" s="2"/>
      <c r="F160" s="2"/>
      <c r="G160" s="2"/>
      <c r="H160" s="2"/>
      <c r="I160" s="2"/>
      <c r="J160" s="2"/>
      <c r="K160" s="2"/>
      <c r="L160" s="2"/>
      <c r="M160" s="2"/>
      <c r="N160" s="2"/>
    </row>
    <row r="161" spans="1:14" ht="12.75">
      <c r="A161" s="2"/>
      <c r="B161" s="2"/>
      <c r="C161" s="2"/>
      <c r="D161" s="2"/>
      <c r="E161" s="2"/>
      <c r="F161" s="2"/>
      <c r="G161" s="2"/>
      <c r="H161" s="2"/>
      <c r="I161" s="2"/>
      <c r="J161" s="2"/>
      <c r="K161" s="2"/>
      <c r="L161" s="2"/>
      <c r="M161" s="2"/>
      <c r="N161" s="2"/>
    </row>
    <row r="162" spans="1:14" ht="12.75">
      <c r="A162" s="2"/>
      <c r="B162" s="2"/>
      <c r="C162" s="2"/>
      <c r="D162" s="2"/>
      <c r="E162" s="2"/>
      <c r="F162" s="2"/>
      <c r="G162" s="2"/>
      <c r="H162" s="2"/>
      <c r="I162" s="2"/>
      <c r="J162" s="2"/>
      <c r="K162" s="2"/>
      <c r="L162" s="2"/>
      <c r="M162" s="2"/>
      <c r="N162" s="2"/>
    </row>
    <row r="163" spans="1:14" ht="12.75">
      <c r="A163" s="2"/>
      <c r="B163" s="2"/>
      <c r="C163" s="2"/>
      <c r="D163" s="2"/>
      <c r="E163" s="2"/>
      <c r="F163" s="2"/>
      <c r="G163" s="2"/>
      <c r="H163" s="2"/>
      <c r="I163" s="2"/>
      <c r="J163" s="2"/>
      <c r="K163" s="2"/>
      <c r="L163" s="2"/>
      <c r="M163" s="2"/>
      <c r="N163" s="2"/>
    </row>
    <row r="164" spans="1:14" ht="12.75">
      <c r="A164" s="2"/>
      <c r="B164" s="2"/>
      <c r="C164" s="2"/>
      <c r="D164" s="2"/>
      <c r="E164" s="2"/>
      <c r="F164" s="2"/>
      <c r="G164" s="2"/>
      <c r="H164" s="2"/>
      <c r="I164" s="2"/>
      <c r="J164" s="2"/>
      <c r="K164" s="2"/>
      <c r="L164" s="2"/>
      <c r="M164" s="2"/>
      <c r="N164" s="2"/>
    </row>
    <row r="165" spans="1:14" ht="12.75">
      <c r="A165" s="2"/>
      <c r="B165" s="2"/>
      <c r="C165" s="2"/>
      <c r="D165" s="2"/>
      <c r="E165" s="2"/>
      <c r="F165" s="2"/>
      <c r="G165" s="2"/>
      <c r="H165" s="2"/>
      <c r="I165" s="2"/>
      <c r="J165" s="2"/>
      <c r="K165" s="2"/>
      <c r="L165" s="2"/>
      <c r="M165" s="2"/>
      <c r="N165" s="2"/>
    </row>
    <row r="166" spans="1:14" ht="12.75">
      <c r="A166" s="2"/>
      <c r="B166" s="2"/>
      <c r="C166" s="2"/>
      <c r="D166" s="2"/>
      <c r="E166" s="2"/>
      <c r="F166" s="2"/>
      <c r="G166" s="2"/>
      <c r="H166" s="2"/>
      <c r="I166" s="2"/>
      <c r="J166" s="2"/>
      <c r="K166" s="2"/>
      <c r="L166" s="2"/>
      <c r="M166" s="2"/>
      <c r="N166" s="2"/>
    </row>
    <row r="167" spans="1:14" ht="12.75">
      <c r="A167" s="2"/>
      <c r="B167" s="2"/>
      <c r="C167" s="2"/>
      <c r="D167" s="2"/>
      <c r="E167" s="2"/>
      <c r="F167" s="2"/>
      <c r="G167" s="2"/>
      <c r="H167" s="2"/>
      <c r="I167" s="2"/>
      <c r="J167" s="2"/>
      <c r="K167" s="2"/>
      <c r="L167" s="2"/>
      <c r="M167" s="2"/>
      <c r="N167" s="2"/>
    </row>
    <row r="168" spans="1:14" ht="12.75">
      <c r="A168" s="2"/>
      <c r="B168" s="2"/>
      <c r="C168" s="2"/>
      <c r="D168" s="2"/>
      <c r="E168" s="2"/>
      <c r="F168" s="2"/>
      <c r="G168" s="2"/>
      <c r="H168" s="2"/>
      <c r="I168" s="2"/>
      <c r="J168" s="2"/>
      <c r="K168" s="2"/>
      <c r="L168" s="2"/>
      <c r="M168" s="2"/>
      <c r="N168" s="2"/>
    </row>
    <row r="169" spans="1:14" ht="12.75">
      <c r="A169" s="2"/>
      <c r="B169" s="2"/>
      <c r="C169" s="2"/>
      <c r="D169" s="2"/>
      <c r="E169" s="2"/>
      <c r="F169" s="2"/>
      <c r="G169" s="2"/>
      <c r="H169" s="2"/>
      <c r="I169" s="2"/>
      <c r="J169" s="2"/>
      <c r="K169" s="2"/>
      <c r="L169" s="2"/>
      <c r="M169" s="2"/>
      <c r="N169" s="2"/>
    </row>
    <row r="170" spans="1:14" ht="12.75">
      <c r="A170" s="2"/>
      <c r="B170" s="2"/>
      <c r="C170" s="2"/>
      <c r="D170" s="2"/>
      <c r="E170" s="2"/>
      <c r="F170" s="2"/>
      <c r="G170" s="2"/>
      <c r="H170" s="2"/>
      <c r="I170" s="2"/>
      <c r="J170" s="2"/>
      <c r="K170" s="2"/>
      <c r="L170" s="2"/>
      <c r="M170" s="2"/>
      <c r="N170" s="2"/>
    </row>
    <row r="171" spans="1:14" ht="12.75">
      <c r="A171" s="2"/>
      <c r="B171" s="2"/>
      <c r="C171" s="2"/>
      <c r="D171" s="2"/>
      <c r="E171" s="2"/>
      <c r="F171" s="2"/>
      <c r="G171" s="2"/>
      <c r="H171" s="2"/>
      <c r="I171" s="2"/>
      <c r="J171" s="2"/>
      <c r="K171" s="2"/>
      <c r="L171" s="2"/>
      <c r="M171" s="2"/>
      <c r="N171" s="2"/>
    </row>
    <row r="172" spans="1:14" ht="12.75">
      <c r="A172" s="2"/>
      <c r="B172" s="2"/>
      <c r="C172" s="2"/>
      <c r="D172" s="2"/>
      <c r="E172" s="2"/>
      <c r="F172" s="2"/>
      <c r="G172" s="2"/>
      <c r="H172" s="2"/>
      <c r="I172" s="2"/>
      <c r="J172" s="2"/>
      <c r="K172" s="2"/>
      <c r="L172" s="2"/>
      <c r="M172" s="2"/>
      <c r="N172" s="2"/>
    </row>
    <row r="173" spans="1:14" ht="12.75">
      <c r="A173" s="2"/>
      <c r="B173" s="2"/>
      <c r="C173" s="2"/>
      <c r="D173" s="2"/>
      <c r="E173" s="2"/>
      <c r="F173" s="2"/>
      <c r="G173" s="2"/>
      <c r="H173" s="2"/>
      <c r="I173" s="2"/>
      <c r="J173" s="2"/>
      <c r="K173" s="2"/>
      <c r="L173" s="2"/>
      <c r="M173" s="2"/>
      <c r="N173" s="2"/>
    </row>
    <row r="174" spans="1:14" ht="12.75">
      <c r="A174" s="2"/>
      <c r="B174" s="2"/>
      <c r="C174" s="2"/>
      <c r="D174" s="2"/>
      <c r="E174" s="2"/>
      <c r="F174" s="2"/>
      <c r="G174" s="2"/>
      <c r="H174" s="2"/>
      <c r="I174" s="2"/>
      <c r="J174" s="2"/>
      <c r="K174" s="2"/>
      <c r="L174" s="2"/>
      <c r="M174" s="2"/>
      <c r="N174" s="2"/>
    </row>
    <row r="175" spans="1:14" ht="12.75">
      <c r="A175" s="2"/>
      <c r="B175" s="2"/>
      <c r="C175" s="2"/>
      <c r="D175" s="2"/>
      <c r="E175" s="2"/>
      <c r="F175" s="2"/>
      <c r="G175" s="2"/>
      <c r="H175" s="2"/>
      <c r="I175" s="2"/>
      <c r="J175" s="2"/>
      <c r="K175" s="2"/>
      <c r="L175" s="2"/>
      <c r="M175" s="2"/>
      <c r="N175" s="2"/>
    </row>
    <row r="176" spans="1:14" ht="12.75">
      <c r="A176" s="2"/>
      <c r="B176" s="2"/>
      <c r="C176" s="2"/>
      <c r="D176" s="2"/>
      <c r="E176" s="2"/>
      <c r="F176" s="2"/>
      <c r="G176" s="2"/>
      <c r="H176" s="2"/>
      <c r="I176" s="2"/>
      <c r="J176" s="2"/>
      <c r="K176" s="2"/>
      <c r="L176" s="2"/>
      <c r="M176" s="2"/>
      <c r="N176" s="2"/>
    </row>
    <row r="177" spans="1:14" ht="12.75">
      <c r="A177" s="2"/>
      <c r="B177" s="2"/>
      <c r="C177" s="2"/>
      <c r="D177" s="2"/>
      <c r="E177" s="2"/>
      <c r="F177" s="2"/>
      <c r="G177" s="2"/>
      <c r="H177" s="2"/>
      <c r="I177" s="2"/>
      <c r="J177" s="2"/>
      <c r="K177" s="2"/>
      <c r="L177" s="2"/>
      <c r="M177" s="2"/>
      <c r="N177" s="2"/>
    </row>
    <row r="178" spans="1:14" ht="12.75">
      <c r="A178" s="2"/>
      <c r="B178" s="2"/>
      <c r="L178" s="2"/>
      <c r="M178" s="2"/>
      <c r="N178" s="2"/>
    </row>
  </sheetData>
  <sheetProtection password="D305" sheet="1" objects="1" scenarios="1"/>
  <mergeCells count="33">
    <mergeCell ref="R32:T32"/>
    <mergeCell ref="R33:T33"/>
    <mergeCell ref="R47:T47"/>
    <mergeCell ref="R48:T48"/>
    <mergeCell ref="M24:O24"/>
    <mergeCell ref="M44:O44"/>
    <mergeCell ref="A39:B39"/>
    <mergeCell ref="A40:B40"/>
    <mergeCell ref="A41:B41"/>
    <mergeCell ref="A42:B42"/>
    <mergeCell ref="A35:B35"/>
    <mergeCell ref="A36:B36"/>
    <mergeCell ref="A37:B37"/>
    <mergeCell ref="A38:B38"/>
    <mergeCell ref="C24:E24"/>
    <mergeCell ref="B23:F23"/>
    <mergeCell ref="G23:L23"/>
    <mergeCell ref="G24:L24"/>
    <mergeCell ref="N32:O32"/>
    <mergeCell ref="N33:O33"/>
    <mergeCell ref="K32:M32"/>
    <mergeCell ref="C32:D32"/>
    <mergeCell ref="C33:D33"/>
    <mergeCell ref="F32:H32"/>
    <mergeCell ref="F33:H33"/>
    <mergeCell ref="K33:M33"/>
    <mergeCell ref="M1:N1"/>
    <mergeCell ref="C2:F2"/>
    <mergeCell ref="M2:N2"/>
    <mergeCell ref="C3:E3"/>
    <mergeCell ref="H3:K3"/>
    <mergeCell ref="M3:N3"/>
    <mergeCell ref="B1:J1"/>
  </mergeCells>
  <dataValidations count="3">
    <dataValidation type="list" allowBlank="1" showInputMessage="1" showErrorMessage="1" sqref="A8:A12">
      <formula1>$Z$3:$Z$22</formula1>
    </dataValidation>
    <dataValidation type="list" allowBlank="1" showInputMessage="1" showErrorMessage="1" sqref="A16:A20">
      <formula1>$AC$3:$AC$23</formula1>
    </dataValidation>
    <dataValidation type="list" allowBlank="1" showInputMessage="1" showErrorMessage="1" sqref="A36:A42 B38:B42">
      <formula1>$AF$3:$AF$36</formula1>
    </dataValidation>
  </dataValidations>
  <printOptions horizontalCentered="1" verticalCentered="1"/>
  <pageMargins left="0.5" right="0.5" top="0.5" bottom="0.5" header="0.5" footer="0.5"/>
  <pageSetup fitToHeight="1" fitToWidth="1" orientation="portrait" scale="73" r:id="rId1"/>
  <headerFooter alignWithMargins="0">
    <oddHeader>&amp;C&amp;"Times New Roman,Bold"&amp;16USDA NATURAL RESOURCES CONSERVATION SERVICE</oddHeader>
  </headerFooter>
  <ignoredErrors>
    <ignoredError sqref="M2" unlockedFormula="1"/>
    <ignoredError sqref="C35" numberStoredAsText="1"/>
  </ignoredErrors>
</worksheet>
</file>

<file path=xl/worksheets/sheet4.xml><?xml version="1.0" encoding="utf-8"?>
<worksheet xmlns="http://schemas.openxmlformats.org/spreadsheetml/2006/main" xmlns:r="http://schemas.openxmlformats.org/officeDocument/2006/relationships">
  <dimension ref="A1:T72"/>
  <sheetViews>
    <sheetView zoomScale="75" zoomScaleNormal="75" workbookViewId="0" topLeftCell="A1">
      <selection activeCell="C9" sqref="C9:D9"/>
    </sheetView>
  </sheetViews>
  <sheetFormatPr defaultColWidth="9.140625" defaultRowHeight="12.75"/>
  <cols>
    <col min="1" max="1" width="12.421875" style="0" customWidth="1"/>
    <col min="2" max="15" width="7.7109375" style="0" customWidth="1"/>
  </cols>
  <sheetData>
    <row r="1" spans="1:15" ht="18.75">
      <c r="A1" s="803" t="s">
        <v>479</v>
      </c>
      <c r="B1" s="803"/>
      <c r="C1" s="803"/>
      <c r="D1" s="803"/>
      <c r="E1" s="803"/>
      <c r="F1" s="803"/>
      <c r="G1" s="803"/>
      <c r="H1" s="803"/>
      <c r="I1" s="803"/>
      <c r="J1" s="803"/>
      <c r="K1" s="803"/>
      <c r="L1" s="803"/>
      <c r="M1" s="803"/>
      <c r="N1" s="803"/>
      <c r="O1" s="803"/>
    </row>
    <row r="2" spans="1:15" ht="15.75">
      <c r="A2" s="583"/>
      <c r="B2" s="583"/>
      <c r="C2" s="583"/>
      <c r="D2" s="583"/>
      <c r="E2" s="583"/>
      <c r="F2" s="583"/>
      <c r="G2" s="583"/>
      <c r="H2" s="583"/>
      <c r="I2" s="583"/>
      <c r="J2" s="583"/>
      <c r="K2" s="583"/>
      <c r="L2" s="583"/>
      <c r="M2" s="583"/>
      <c r="N2" s="583"/>
      <c r="O2" s="583"/>
    </row>
    <row r="3" spans="1:15" ht="15.75">
      <c r="A3" s="296"/>
      <c r="B3" s="584" t="s">
        <v>2</v>
      </c>
      <c r="C3" s="617" t="str">
        <f>'Man. Bal.'!C3</f>
        <v>Utah Dairy Farmer</v>
      </c>
      <c r="D3" s="617"/>
      <c r="E3" s="617"/>
      <c r="F3" s="296"/>
      <c r="G3" s="296"/>
      <c r="H3" s="296"/>
      <c r="I3" s="296"/>
      <c r="J3" s="738" t="s">
        <v>440</v>
      </c>
      <c r="K3" s="738"/>
      <c r="L3" s="666" t="str">
        <f>'Man. Bal.'!M2</f>
        <v>Manure3.1e.xls</v>
      </c>
      <c r="M3" s="666"/>
      <c r="N3" s="296"/>
      <c r="O3" s="296"/>
    </row>
    <row r="4" spans="1:15" ht="15.75">
      <c r="A4" s="738" t="s">
        <v>6</v>
      </c>
      <c r="B4" s="738"/>
      <c r="C4" s="617" t="str">
        <f>'Man. Bal.'!C4</f>
        <v>Any Utah County</v>
      </c>
      <c r="D4" s="617"/>
      <c r="E4" s="617"/>
      <c r="F4" s="617"/>
      <c r="G4" s="296"/>
      <c r="H4" s="296"/>
      <c r="I4" s="296"/>
      <c r="J4" s="296"/>
      <c r="K4" s="603" t="s">
        <v>441</v>
      </c>
      <c r="L4" s="736">
        <f>'Man. Bal.'!M3</f>
        <v>38737</v>
      </c>
      <c r="M4" s="736"/>
      <c r="N4" s="296"/>
      <c r="O4" s="296"/>
    </row>
    <row r="5" spans="1:15" ht="15.75">
      <c r="A5" s="808" t="s">
        <v>8</v>
      </c>
      <c r="B5" s="808"/>
      <c r="C5" s="674" t="str">
        <f>'Man. Bal.'!H4</f>
        <v>Solid Waste System w/Bunkers</v>
      </c>
      <c r="D5" s="674"/>
      <c r="E5" s="674"/>
      <c r="F5" s="674"/>
      <c r="G5" s="296"/>
      <c r="H5" s="296"/>
      <c r="I5" s="296"/>
      <c r="J5" s="583"/>
      <c r="K5" s="36" t="s">
        <v>10</v>
      </c>
      <c r="L5" s="394" t="str">
        <f>'Man. Bal.'!M4</f>
        <v>kig</v>
      </c>
      <c r="M5" s="394"/>
      <c r="N5" s="296"/>
      <c r="O5" s="296"/>
    </row>
    <row r="6" spans="1:15" ht="15.75">
      <c r="A6" s="583" t="s">
        <v>4</v>
      </c>
      <c r="B6" s="583"/>
      <c r="C6" s="583"/>
      <c r="D6" s="583"/>
      <c r="E6" s="583"/>
      <c r="F6" s="583"/>
      <c r="G6" s="583"/>
      <c r="H6" s="583"/>
      <c r="I6" s="583"/>
      <c r="J6" s="274"/>
      <c r="K6" s="274"/>
      <c r="L6" s="274"/>
      <c r="M6" s="274"/>
      <c r="N6" s="583"/>
      <c r="O6" s="583"/>
    </row>
    <row r="7" spans="1:15" ht="15.75">
      <c r="A7" s="583"/>
      <c r="B7" s="583"/>
      <c r="C7" s="583"/>
      <c r="D7" s="583"/>
      <c r="E7" s="583"/>
      <c r="F7" s="583"/>
      <c r="G7" s="583"/>
      <c r="H7" s="583"/>
      <c r="I7" s="583"/>
      <c r="J7" s="274"/>
      <c r="K7" s="274"/>
      <c r="L7" s="274"/>
      <c r="M7" s="274"/>
      <c r="N7" s="583"/>
      <c r="O7" s="583"/>
    </row>
    <row r="8" spans="1:15" ht="15.75">
      <c r="A8" s="616"/>
      <c r="B8" s="616"/>
      <c r="C8" s="616"/>
      <c r="D8" s="583"/>
      <c r="E8" s="583"/>
      <c r="F8" s="583"/>
      <c r="G8" s="583"/>
      <c r="H8" s="583"/>
      <c r="I8" s="583"/>
      <c r="J8" s="583"/>
      <c r="K8" s="583"/>
      <c r="L8" s="583"/>
      <c r="M8" s="583"/>
      <c r="N8" s="583"/>
      <c r="O8" s="583"/>
    </row>
    <row r="9" spans="1:15" ht="15.75">
      <c r="A9" s="738" t="s">
        <v>434</v>
      </c>
      <c r="B9" s="738"/>
      <c r="C9" s="778" t="s">
        <v>435</v>
      </c>
      <c r="D9" s="778"/>
      <c r="E9" s="807" t="s">
        <v>439</v>
      </c>
      <c r="F9" s="807"/>
      <c r="G9" s="807"/>
      <c r="H9" s="807"/>
      <c r="I9" s="307">
        <f>'Man. Bal.'!O52</f>
        <v>225</v>
      </c>
      <c r="J9" s="742" t="s">
        <v>429</v>
      </c>
      <c r="K9" s="742"/>
      <c r="L9" s="742"/>
      <c r="M9" s="742"/>
      <c r="N9" s="719">
        <f>'Man. Bal.'!O50</f>
        <v>60</v>
      </c>
      <c r="O9" s="583"/>
    </row>
    <row r="10" spans="1:15" ht="15.75">
      <c r="A10" s="738" t="s">
        <v>428</v>
      </c>
      <c r="B10" s="738"/>
      <c r="C10" s="615">
        <v>8</v>
      </c>
      <c r="E10" s="742" t="s">
        <v>433</v>
      </c>
      <c r="F10" s="742"/>
      <c r="G10" s="742"/>
      <c r="H10" s="742"/>
      <c r="I10" s="604">
        <f>I9*N9/2000</f>
        <v>6.75</v>
      </c>
      <c r="J10" s="585"/>
      <c r="K10" s="585"/>
      <c r="L10" s="585"/>
      <c r="M10" s="585"/>
      <c r="N10" s="586"/>
      <c r="O10" s="583"/>
    </row>
    <row r="11" spans="1:15" ht="12.75">
      <c r="A11" s="274"/>
      <c r="B11" s="274"/>
      <c r="C11" s="274"/>
      <c r="D11" s="274"/>
      <c r="E11" s="274"/>
      <c r="F11" s="274"/>
      <c r="G11" s="274"/>
      <c r="H11" s="274"/>
      <c r="I11" s="274"/>
      <c r="J11" s="274"/>
      <c r="K11" s="274"/>
      <c r="L11" s="274"/>
      <c r="M11" s="274"/>
      <c r="N11" s="274"/>
      <c r="O11" s="274"/>
    </row>
    <row r="12" spans="1:15" ht="15.75">
      <c r="A12" s="798"/>
      <c r="B12" s="799"/>
      <c r="C12" s="798" t="s">
        <v>54</v>
      </c>
      <c r="D12" s="799"/>
      <c r="E12" s="589" t="s">
        <v>55</v>
      </c>
      <c r="F12" s="798" t="s">
        <v>405</v>
      </c>
      <c r="G12" s="799"/>
      <c r="H12" s="798" t="s">
        <v>426</v>
      </c>
      <c r="I12" s="816"/>
      <c r="J12" s="798" t="s">
        <v>426</v>
      </c>
      <c r="K12" s="816"/>
      <c r="L12" s="809"/>
      <c r="M12" s="810"/>
      <c r="N12" s="809" t="s">
        <v>384</v>
      </c>
      <c r="O12" s="810"/>
    </row>
    <row r="13" spans="1:15" ht="15.75">
      <c r="A13" s="800"/>
      <c r="B13" s="801"/>
      <c r="C13" s="811" t="s">
        <v>57</v>
      </c>
      <c r="D13" s="812"/>
      <c r="E13" s="590" t="s">
        <v>58</v>
      </c>
      <c r="F13" s="811" t="s">
        <v>407</v>
      </c>
      <c r="G13" s="812"/>
      <c r="H13" s="811" t="s">
        <v>430</v>
      </c>
      <c r="I13" s="813"/>
      <c r="J13" s="811" t="s">
        <v>431</v>
      </c>
      <c r="K13" s="813"/>
      <c r="L13" s="814" t="s">
        <v>427</v>
      </c>
      <c r="M13" s="815"/>
      <c r="N13" s="814" t="s">
        <v>432</v>
      </c>
      <c r="O13" s="815"/>
    </row>
    <row r="14" spans="1:15" ht="15.75">
      <c r="A14" s="735" t="s">
        <v>61</v>
      </c>
      <c r="B14" s="795"/>
      <c r="C14" s="51" t="s">
        <v>54</v>
      </c>
      <c r="D14" s="57" t="s">
        <v>62</v>
      </c>
      <c r="E14" s="591"/>
      <c r="F14" s="72" t="s">
        <v>16</v>
      </c>
      <c r="G14" s="72" t="s">
        <v>17</v>
      </c>
      <c r="H14" s="72" t="s">
        <v>16</v>
      </c>
      <c r="I14" s="72" t="s">
        <v>17</v>
      </c>
      <c r="J14" s="72" t="s">
        <v>16</v>
      </c>
      <c r="K14" s="72" t="s">
        <v>17</v>
      </c>
      <c r="L14" s="71" t="s">
        <v>16</v>
      </c>
      <c r="M14" s="72" t="s">
        <v>17</v>
      </c>
      <c r="N14" s="72" t="s">
        <v>16</v>
      </c>
      <c r="O14" s="72" t="s">
        <v>17</v>
      </c>
    </row>
    <row r="15" spans="1:15" ht="15.75">
      <c r="A15" s="796" t="str">
        <f>IF('Man. Bal.'!A30:B30=0," ",'Man. Bal.'!A30:B30)</f>
        <v>Alfalfa</v>
      </c>
      <c r="B15" s="797"/>
      <c r="C15" s="711" t="str">
        <f>IF('Man. Bal.'!C30=""," ",'Man. Bal.'!C30)</f>
        <v>1,2,4,6</v>
      </c>
      <c r="D15" s="712">
        <f>IF('Man. Bal.'!D30=0," ",'Man. Bal.'!D30)</f>
        <v>34</v>
      </c>
      <c r="E15" s="713">
        <f>IF('Man. Bal.'!E30=0," ",'Man. Bal.'!E30)</f>
        <v>6</v>
      </c>
      <c r="F15" s="587">
        <f>IF('Man. Bal.'!N30=0," ",'Man. Bal.'!N30)</f>
        <v>1.8989753411823187</v>
      </c>
      <c r="G15" s="353">
        <f>IF('Man. Bal.'!O30=0," ",'Man. Bal.'!O30)</f>
        <v>17.979449892024707</v>
      </c>
      <c r="H15" s="593">
        <f>IF(F15=" "," ",ROUND((N9*I9/2000)/F15*(43560/C10),-2))</f>
        <v>19400</v>
      </c>
      <c r="I15" s="594">
        <f>IF(G15=" "," ",ROUND((N9*I9/2000)/G15*(43560/C10),-2))</f>
        <v>2000</v>
      </c>
      <c r="J15" s="600">
        <f>IF(H15=" "," ",(N9*I9/2000)/F15*(43560/C10)/5280)</f>
        <v>3.6656281674863975</v>
      </c>
      <c r="K15" s="612">
        <f>IF(I15=" "," ",(N9*I9/2000)/G15*(43560/C10)/5280)</f>
        <v>0.3871607608577457</v>
      </c>
      <c r="L15" s="600">
        <f>IF(F15=" "," ",F15/I10)</f>
        <v>0.2813296801751583</v>
      </c>
      <c r="M15" s="612">
        <f>IF(G15=" "," ",G15/I10)</f>
        <v>2.6636222062258827</v>
      </c>
      <c r="N15" s="605">
        <f>IF(D15=" "," ",D15*L15)</f>
        <v>9.565209125955382</v>
      </c>
      <c r="O15" s="606">
        <f>IF(D15=" "," ",D15*M15)</f>
        <v>90.56315501168001</v>
      </c>
    </row>
    <row r="16" spans="1:15" ht="15.75">
      <c r="A16" s="743" t="str">
        <f>IF('Man. Bal.'!A31:B31=0," ",'Man. Bal.'!A31:B31)</f>
        <v>Corn Silage</v>
      </c>
      <c r="B16" s="734"/>
      <c r="C16" s="711" t="str">
        <f>IF('Man. Bal.'!C31=""," ",'Man. Bal.'!C31)</f>
        <v>3</v>
      </c>
      <c r="D16" s="712">
        <f>IF('Man. Bal.'!D31=0," ",'Man. Bal.'!D31)</f>
        <v>5</v>
      </c>
      <c r="E16" s="713">
        <f>IF('Man. Bal.'!E31=0," ",'Man. Bal.'!E31)</f>
        <v>30</v>
      </c>
      <c r="F16" s="592">
        <f>IF('Man. Bal.'!N31=0," ",'Man. Bal.'!N31)</f>
        <v>53.40868147075258</v>
      </c>
      <c r="G16" s="571">
        <f>IF('Man. Bal.'!O31=0," ",'Man. Bal.'!O31)</f>
        <v>20.953494235066387</v>
      </c>
      <c r="H16" s="595">
        <f>IF(F16=" "," ",ROUND((N9*I9/2000)/F16*(43560/C10),-2))</f>
        <v>700</v>
      </c>
      <c r="I16" s="597">
        <f>IF(G16=" "," ",ROUND((N9*I9/2000)/G16*(43560/C10),-2))</f>
        <v>1800</v>
      </c>
      <c r="J16" s="601">
        <f>IF(H16=" "," ",(N9*I9/2000)/F16*(43560/C10)/5280)</f>
        <v>0.13033344595507224</v>
      </c>
      <c r="K16" s="613">
        <f>IF(I16=" "," ",(N9*I9/2000)/G16*(43560/C10)/5280)</f>
        <v>0.3322089109295496</v>
      </c>
      <c r="L16" s="601">
        <f>IF(F16=" "," ",F16/I10)</f>
        <v>7.912397254926309</v>
      </c>
      <c r="M16" s="613">
        <f>IF(G16=" "," ",G16/I10)</f>
        <v>3.104221368157983</v>
      </c>
      <c r="N16" s="607">
        <f aca="true" t="shared" si="0" ref="N16:N24">IF(D16=" "," ",D16*L16)</f>
        <v>39.56198627463154</v>
      </c>
      <c r="O16" s="355">
        <f aca="true" t="shared" si="1" ref="O16:O24">IF(D16=" "," ",D16*M16)</f>
        <v>15.521106840789916</v>
      </c>
    </row>
    <row r="17" spans="1:15" ht="15.75">
      <c r="A17" s="743" t="str">
        <f>IF('Man. Bal.'!A32:B32=0," ",'Man. Bal.'!A32:B32)</f>
        <v>Grass Pasture</v>
      </c>
      <c r="B17" s="734"/>
      <c r="C17" s="711" t="str">
        <f>IF('Man. Bal.'!C32=""," ",'Man. Bal.'!C32)</f>
        <v>9-15</v>
      </c>
      <c r="D17" s="712">
        <f>IF('Man. Bal.'!D32=0," ",'Man. Bal.'!D32)</f>
        <v>30</v>
      </c>
      <c r="E17" s="713">
        <f>IF('Man. Bal.'!E32=0," ",'Man. Bal.'!E32)</f>
        <v>4</v>
      </c>
      <c r="F17" s="592">
        <f>IF('Man. Bal.'!N32=0," ",'Man. Bal.'!N32)</f>
        <v>25.00317532556714</v>
      </c>
      <c r="G17" s="571">
        <f>IF('Man. Bal.'!O32=0," ",'Man. Bal.'!O32)</f>
        <v>11.715932260467227</v>
      </c>
      <c r="H17" s="595">
        <f>IF(F17=" "," ",ROUND((N9*I9/2000)/F17*(43560/C10),-2))</f>
        <v>1500</v>
      </c>
      <c r="I17" s="597">
        <f>IF(G17=" "," ",ROUND((N9*I9/2000)/G17*(43560/C10),-2))</f>
        <v>3100</v>
      </c>
      <c r="J17" s="601">
        <f>IF(H17=" "," ",(N9*I9/2000)/F17*(43560/C10)/5280)</f>
        <v>0.27840213930276503</v>
      </c>
      <c r="K17" s="613">
        <f>IF(I17=" "," ",(N9*I9/2000)/G17*(43560/C10)/5280)</f>
        <v>0.5941428599316946</v>
      </c>
      <c r="L17" s="601">
        <f>IF(F17=" "," ",F17/I10)</f>
        <v>3.7041741223062425</v>
      </c>
      <c r="M17" s="613">
        <f>IF(G17=" "," ",G17/I10)</f>
        <v>1.735693668217367</v>
      </c>
      <c r="N17" s="607">
        <f t="shared" si="0"/>
        <v>111.12522366918728</v>
      </c>
      <c r="O17" s="355">
        <f t="shared" si="1"/>
        <v>52.07081004652101</v>
      </c>
    </row>
    <row r="18" spans="1:15" ht="15.75">
      <c r="A18" s="743" t="str">
        <f>IF('Man. Bal.'!A33:B33=0," ",'Man. Bal.'!A33:B33)</f>
        <v>Wheat, Irrigated</v>
      </c>
      <c r="B18" s="734"/>
      <c r="C18" s="711" t="str">
        <f>IF('Man. Bal.'!C33=""," ",'Man. Bal.'!C33)</f>
        <v>5,7,8</v>
      </c>
      <c r="D18" s="712">
        <f>IF('Man. Bal.'!D33=0," ",'Man. Bal.'!D33)</f>
        <v>80</v>
      </c>
      <c r="E18" s="713">
        <f>IF('Man. Bal.'!E33=0," ",'Man. Bal.'!E33)</f>
        <v>120</v>
      </c>
      <c r="F18" s="592">
        <f>IF('Man. Bal.'!N33=0," ",'Man. Bal.'!N33)</f>
        <v>40.353226000124174</v>
      </c>
      <c r="G18" s="571">
        <f>IF('Man. Bal.'!O33=0," ",'Man. Bal.'!O33)</f>
        <v>18.925736728447056</v>
      </c>
      <c r="H18" s="595">
        <f>IF(F18=" "," ",ROUND((N9*I9/2000)/F18*(43560/C10),-2))</f>
        <v>900</v>
      </c>
      <c r="I18" s="597">
        <f>IF(G18=" "," ",ROUND((N9*I9/2000)/G18*(43560/C10),-2))</f>
        <v>1900</v>
      </c>
      <c r="J18" s="601">
        <f>IF(H18=" "," ",(N9*I9/2000)/F18*(43560/C10)/5280)</f>
        <v>0.17250014905818384</v>
      </c>
      <c r="K18" s="613">
        <f>IF(I18=" "," ",(N9*I9/2000)/G18*(43560/C10)/5280)</f>
        <v>0.36780272281485854</v>
      </c>
      <c r="L18" s="601">
        <f>IF(F18=" "," ",F18/I10)</f>
        <v>5.9782557037221</v>
      </c>
      <c r="M18" s="613">
        <f>IF(G18=" "," ",G18/I10)</f>
        <v>2.803812848658823</v>
      </c>
      <c r="N18" s="607">
        <f t="shared" si="0"/>
        <v>478.260456297768</v>
      </c>
      <c r="O18" s="355">
        <f t="shared" si="1"/>
        <v>224.30502789270582</v>
      </c>
    </row>
    <row r="19" spans="1:15" ht="15.75">
      <c r="A19" s="743" t="str">
        <f>IF('Man. Bal.'!A34:B34=0," ",'Man. Bal.'!A34:B34)</f>
        <v> </v>
      </c>
      <c r="B19" s="734"/>
      <c r="C19" s="711" t="str">
        <f>IF('Man. Bal.'!C34=""," ",'Man. Bal.'!C34)</f>
        <v> </v>
      </c>
      <c r="D19" s="712" t="str">
        <f>IF('Man. Bal.'!D34=0," ",'Man. Bal.'!D34)</f>
        <v> </v>
      </c>
      <c r="E19" s="713" t="str">
        <f>IF('Man. Bal.'!E34=0," ",'Man. Bal.'!E34)</f>
        <v> </v>
      </c>
      <c r="F19" s="592" t="str">
        <f>IF('Man. Bal.'!N34=0," ",'Man. Bal.'!N34)</f>
        <v> </v>
      </c>
      <c r="G19" s="571" t="str">
        <f>IF('Man. Bal.'!O34=0," ",'Man. Bal.'!O34)</f>
        <v> </v>
      </c>
      <c r="H19" s="595" t="str">
        <f>IF(F19=" "," ",ROUND((N9*I9/2000)/F19*(43560/C10),-2))</f>
        <v> </v>
      </c>
      <c r="I19" s="597" t="str">
        <f>IF(G19=" "," ",ROUND((N9*I9/2000)/G19*(43560/C10),-2))</f>
        <v> </v>
      </c>
      <c r="J19" s="601" t="str">
        <f>IF(H19=" "," ",(N9*I9/2000)/F19*(43560/C10)/5280)</f>
        <v> </v>
      </c>
      <c r="K19" s="613" t="str">
        <f>IF(I19=" "," ",(N9*I9/2000)/G19*(43560/C10)/5280)</f>
        <v> </v>
      </c>
      <c r="L19" s="601" t="str">
        <f>IF(F19=" "," ",F19/I10)</f>
        <v> </v>
      </c>
      <c r="M19" s="613" t="str">
        <f>IF(G19=" "," ",G19/I10)</f>
        <v> </v>
      </c>
      <c r="N19" s="607" t="str">
        <f t="shared" si="0"/>
        <v> </v>
      </c>
      <c r="O19" s="355" t="str">
        <f t="shared" si="1"/>
        <v> </v>
      </c>
    </row>
    <row r="20" spans="1:15" ht="15.75">
      <c r="A20" s="743" t="str">
        <f>IF('Man. Bal.'!A35:B35=0," ",'Man. Bal.'!A35:B35)</f>
        <v> </v>
      </c>
      <c r="B20" s="734"/>
      <c r="C20" s="711" t="str">
        <f>IF('Man. Bal.'!C35=""," ",'Man. Bal.'!C35)</f>
        <v> </v>
      </c>
      <c r="D20" s="712" t="str">
        <f>IF('Man. Bal.'!D35=0," ",'Man. Bal.'!D35)</f>
        <v> </v>
      </c>
      <c r="E20" s="713" t="str">
        <f>IF('Man. Bal.'!E35=0," ",'Man. Bal.'!E35)</f>
        <v> </v>
      </c>
      <c r="F20" s="592" t="str">
        <f>IF('Man. Bal.'!N35=0," ",'Man. Bal.'!N35)</f>
        <v> </v>
      </c>
      <c r="G20" s="571" t="str">
        <f>IF('Man. Bal.'!O35=0," ",'Man. Bal.'!O35)</f>
        <v> </v>
      </c>
      <c r="H20" s="595" t="str">
        <f>IF(F20=" "," ",ROUND((N9*I9/2000)/F20*(43560/C10),-2))</f>
        <v> </v>
      </c>
      <c r="I20" s="597" t="str">
        <f>IF(G20=" "," ",ROUND((N9*I9/2000)/G20*(43560/C10),-2))</f>
        <v> </v>
      </c>
      <c r="J20" s="601" t="str">
        <f>IF(H20=" "," ",(N9*I9/2000)/F20*(43560/C10)/5280)</f>
        <v> </v>
      </c>
      <c r="K20" s="613" t="str">
        <f>IF(I20=" "," ",(N9*I9/2000)/G20*(43560/C10)/5280)</f>
        <v> </v>
      </c>
      <c r="L20" s="601" t="str">
        <f>IF(F20=" "," ",F20/I10)</f>
        <v> </v>
      </c>
      <c r="M20" s="613" t="str">
        <f>IF(G20=" "," ",G20/I10)</f>
        <v> </v>
      </c>
      <c r="N20" s="607" t="str">
        <f t="shared" si="0"/>
        <v> </v>
      </c>
      <c r="O20" s="355" t="str">
        <f t="shared" si="1"/>
        <v> </v>
      </c>
    </row>
    <row r="21" spans="1:15" ht="15.75">
      <c r="A21" s="743" t="str">
        <f>IF('Man. Bal.'!A36:B36=0," ",'Man. Bal.'!A36:B36)</f>
        <v> </v>
      </c>
      <c r="B21" s="734"/>
      <c r="C21" s="711" t="str">
        <f>IF('Man. Bal.'!C36=""," ",'Man. Bal.'!C36)</f>
        <v> </v>
      </c>
      <c r="D21" s="712" t="str">
        <f>IF('Man. Bal.'!D36=0," ",'Man. Bal.'!D36)</f>
        <v> </v>
      </c>
      <c r="E21" s="713" t="str">
        <f>IF('Man. Bal.'!E36=0," ",'Man. Bal.'!E36)</f>
        <v> </v>
      </c>
      <c r="F21" s="592" t="str">
        <f>IF('Man. Bal.'!N36=0," ",'Man. Bal.'!N36)</f>
        <v> </v>
      </c>
      <c r="G21" s="571" t="str">
        <f>IF('Man. Bal.'!O36=0," ",'Man. Bal.'!O36)</f>
        <v> </v>
      </c>
      <c r="H21" s="595" t="str">
        <f>IF(F21=" "," ",ROUND((N9*I9/2000)/F21*(43560/C10),-2))</f>
        <v> </v>
      </c>
      <c r="I21" s="597" t="str">
        <f>IF(G21=" "," ",ROUND((N9*I9/2000)/G21*(43560/C10),-2))</f>
        <v> </v>
      </c>
      <c r="J21" s="601" t="str">
        <f>IF(H21=" "," ",(N9*I9/2000)/F21*(43560/C10)/5280)</f>
        <v> </v>
      </c>
      <c r="K21" s="613" t="str">
        <f>IF(I21=" "," ",(N9*I9/2000)/G21*(43560/C10)/5280)</f>
        <v> </v>
      </c>
      <c r="L21" s="601" t="str">
        <f>IF(F21=" "," ",F21/I10)</f>
        <v> </v>
      </c>
      <c r="M21" s="613" t="str">
        <f>IF(G21=" "," ",G21/I10)</f>
        <v> </v>
      </c>
      <c r="N21" s="607" t="str">
        <f t="shared" si="0"/>
        <v> </v>
      </c>
      <c r="O21" s="355" t="str">
        <f t="shared" si="1"/>
        <v> </v>
      </c>
    </row>
    <row r="22" spans="1:15" ht="15.75">
      <c r="A22" s="743" t="str">
        <f>IF('Man. Bal.'!A37:B37=0," ",'Man. Bal.'!A37:B37)</f>
        <v> </v>
      </c>
      <c r="B22" s="734"/>
      <c r="C22" s="711" t="str">
        <f>IF('Man. Bal.'!C37=""," ",'Man. Bal.'!C37)</f>
        <v> </v>
      </c>
      <c r="D22" s="712" t="str">
        <f>IF('Man. Bal.'!D37=0," ",'Man. Bal.'!D37)</f>
        <v> </v>
      </c>
      <c r="E22" s="713" t="str">
        <f>IF('Man. Bal.'!E37=0," ",'Man. Bal.'!E37)</f>
        <v> </v>
      </c>
      <c r="F22" s="592" t="str">
        <f>IF('Man. Bal.'!N37=0," ",'Man. Bal.'!N37)</f>
        <v> </v>
      </c>
      <c r="G22" s="571" t="str">
        <f>IF('Man. Bal.'!O37=0," ",'Man. Bal.'!O37)</f>
        <v> </v>
      </c>
      <c r="H22" s="595" t="str">
        <f>IF(F22=" "," ",ROUND((N9*I9/2000)/F22*(43560/C10),-2))</f>
        <v> </v>
      </c>
      <c r="I22" s="597" t="str">
        <f>IF(G22=" "," ",ROUND((N9*I9/2000)/G22*(43560/C10),-2))</f>
        <v> </v>
      </c>
      <c r="J22" s="601" t="str">
        <f>IF(H22=" "," ",(N9*I9/2000)/F22*(43560/C10)/5280)</f>
        <v> </v>
      </c>
      <c r="K22" s="613" t="str">
        <f>IF(I22=" "," ",(N9*I9/2000)/G22*(43560/C10)/5280)</f>
        <v> </v>
      </c>
      <c r="L22" s="601" t="str">
        <f>IF(F22=" "," ",F22/I10)</f>
        <v> </v>
      </c>
      <c r="M22" s="613" t="str">
        <f>IF(G22=" "," ",G22/I10)</f>
        <v> </v>
      </c>
      <c r="N22" s="607" t="str">
        <f t="shared" si="0"/>
        <v> </v>
      </c>
      <c r="O22" s="355" t="str">
        <f t="shared" si="1"/>
        <v> </v>
      </c>
    </row>
    <row r="23" spans="1:15" ht="15.75">
      <c r="A23" s="743" t="str">
        <f>IF('Man. Bal.'!A38:B38=0," ",'Man. Bal.'!A38:B38)</f>
        <v> </v>
      </c>
      <c r="B23" s="734"/>
      <c r="C23" s="711" t="str">
        <f>IF('Man. Bal.'!C38=""," ",'Man. Bal.'!C38)</f>
        <v> </v>
      </c>
      <c r="D23" s="712" t="str">
        <f>IF('Man. Bal.'!D38=0," ",'Man. Bal.'!D38)</f>
        <v> </v>
      </c>
      <c r="E23" s="713" t="str">
        <f>IF('Man. Bal.'!E38=0," ",'Man. Bal.'!E38)</f>
        <v> </v>
      </c>
      <c r="F23" s="592" t="str">
        <f>IF('Man. Bal.'!N38=0," ",'Man. Bal.'!N38)</f>
        <v> </v>
      </c>
      <c r="G23" s="571" t="str">
        <f>IF('Man. Bal.'!O38=0," ",'Man. Bal.'!O38)</f>
        <v> </v>
      </c>
      <c r="H23" s="595" t="str">
        <f>IF(F23=" "," ",ROUND((N9*I9/2000)/F23*(43560/C10),-2))</f>
        <v> </v>
      </c>
      <c r="I23" s="597" t="str">
        <f>IF(G23=" "," ",ROUND((N9*I9/2000)/G23*(43560/C10),-2))</f>
        <v> </v>
      </c>
      <c r="J23" s="601" t="str">
        <f>IF(H23=" "," ",(N9*I9/2000)/F23*(43560/C10)/5280)</f>
        <v> </v>
      </c>
      <c r="K23" s="613" t="str">
        <f>IF(I23=" "," ",(N9*I9/2000)/G23*(43560/C10)/5280)</f>
        <v> </v>
      </c>
      <c r="L23" s="601" t="str">
        <f>IF(F23=" "," ",F23/I10)</f>
        <v> </v>
      </c>
      <c r="M23" s="613" t="str">
        <f>IF(G23=" "," ",G23/I10)</f>
        <v> </v>
      </c>
      <c r="N23" s="607" t="str">
        <f t="shared" si="0"/>
        <v> </v>
      </c>
      <c r="O23" s="355" t="str">
        <f t="shared" si="1"/>
        <v> </v>
      </c>
    </row>
    <row r="24" spans="1:15" ht="15.75">
      <c r="A24" s="717" t="str">
        <f>IF('Man. Bal.'!A39:B39=0," ",'Man. Bal.'!A39:B39)</f>
        <v> </v>
      </c>
      <c r="B24" s="718"/>
      <c r="C24" s="714" t="str">
        <f>IF('Man. Bal.'!C39=""," ",'Man. Bal.'!C39)</f>
        <v> </v>
      </c>
      <c r="D24" s="715" t="str">
        <f>IF('Man. Bal.'!D39=0," ",'Man. Bal.'!D39)</f>
        <v> </v>
      </c>
      <c r="E24" s="716" t="str">
        <f>IF('Man. Bal.'!E39=0," ",'Man. Bal.'!E39)</f>
        <v> </v>
      </c>
      <c r="F24" s="588" t="str">
        <f>IF('Man. Bal.'!N39=0," ",'Man. Bal.'!N39)</f>
        <v> </v>
      </c>
      <c r="G24" s="572" t="str">
        <f>IF('Man. Bal.'!O39=0," ",'Man. Bal.'!O39)</f>
        <v> </v>
      </c>
      <c r="H24" s="596" t="str">
        <f>IF(F24=" "," ",ROUND((N9*I9/2000)/F24*(43560/C10),-2))</f>
        <v> </v>
      </c>
      <c r="I24" s="598" t="str">
        <f>IF(G24=" "," ",ROUND((N9*I9/2000)/G24*(43560/C10),-2))</f>
        <v> </v>
      </c>
      <c r="J24" s="602" t="str">
        <f>IF(H24=" "," ",(N9*I9/2000)/F24*(43560/C10)/5280)</f>
        <v> </v>
      </c>
      <c r="K24" s="614" t="str">
        <f>IF(I24=" "," ",(N9*I9/2000)/G24*(43560/C10)/5280)</f>
        <v> </v>
      </c>
      <c r="L24" s="602" t="str">
        <f>IF(F24=" "," ",F24/I10)</f>
        <v> </v>
      </c>
      <c r="M24" s="614" t="str">
        <f>IF(G24=" "," ",G24/I10)</f>
        <v> </v>
      </c>
      <c r="N24" s="608" t="str">
        <f t="shared" si="0"/>
        <v> </v>
      </c>
      <c r="O24" s="357" t="str">
        <f t="shared" si="1"/>
        <v> </v>
      </c>
    </row>
    <row r="25" spans="1:15" ht="15.75">
      <c r="A25" s="296"/>
      <c r="B25" s="296"/>
      <c r="C25" s="296"/>
      <c r="D25" s="296"/>
      <c r="E25" s="296"/>
      <c r="F25" s="296"/>
      <c r="G25" s="296"/>
      <c r="H25" s="296"/>
      <c r="I25" s="296"/>
      <c r="J25" s="296"/>
      <c r="K25" s="296"/>
      <c r="L25" s="296"/>
      <c r="M25" s="296"/>
      <c r="N25" s="296"/>
      <c r="O25" s="296"/>
    </row>
    <row r="26" spans="1:15" ht="15.75">
      <c r="A26" s="737"/>
      <c r="B26" s="737"/>
      <c r="C26" s="737"/>
      <c r="D26" s="737"/>
      <c r="E26" s="737"/>
      <c r="F26" s="737"/>
      <c r="G26" s="737"/>
      <c r="H26" s="737"/>
      <c r="I26" s="737"/>
      <c r="J26" s="737"/>
      <c r="K26" s="737"/>
      <c r="L26" s="675"/>
      <c r="M26" s="296"/>
      <c r="N26" s="296"/>
      <c r="O26" s="296"/>
    </row>
    <row r="27" spans="1:15" ht="15.75">
      <c r="A27" s="737" t="s">
        <v>478</v>
      </c>
      <c r="B27" s="737"/>
      <c r="C27" s="737"/>
      <c r="D27" s="737"/>
      <c r="E27" s="737"/>
      <c r="F27" s="737"/>
      <c r="G27" s="737"/>
      <c r="H27" s="737"/>
      <c r="I27" s="737"/>
      <c r="J27" s="737"/>
      <c r="K27" s="737"/>
      <c r="L27" s="739">
        <f>'Man. Bal.'!S47</f>
        <v>106.04625563909774</v>
      </c>
      <c r="M27" s="740"/>
      <c r="N27" s="296"/>
      <c r="O27" s="296"/>
    </row>
    <row r="28" spans="1:15" ht="15.75">
      <c r="A28" s="670"/>
      <c r="B28" s="670"/>
      <c r="C28" s="670"/>
      <c r="D28" s="670"/>
      <c r="E28" s="670"/>
      <c r="F28" s="670"/>
      <c r="G28" s="670"/>
      <c r="H28" s="670"/>
      <c r="I28" s="670"/>
      <c r="J28" s="670"/>
      <c r="K28" s="670"/>
      <c r="L28" s="675"/>
      <c r="M28" s="296"/>
      <c r="N28" s="296"/>
      <c r="O28" s="296"/>
    </row>
    <row r="29" spans="1:15" ht="15.75">
      <c r="A29" s="670"/>
      <c r="B29" s="670"/>
      <c r="C29" s="670"/>
      <c r="D29" s="670"/>
      <c r="E29" s="670"/>
      <c r="F29" s="670"/>
      <c r="G29" s="670"/>
      <c r="H29" s="670"/>
      <c r="I29" s="670"/>
      <c r="J29" s="670"/>
      <c r="K29" s="670"/>
      <c r="L29" s="675"/>
      <c r="M29" s="296"/>
      <c r="N29" s="296"/>
      <c r="O29" s="296"/>
    </row>
    <row r="30" spans="1:15" ht="18.75">
      <c r="A30" s="803" t="s">
        <v>480</v>
      </c>
      <c r="B30" s="803"/>
      <c r="C30" s="803"/>
      <c r="D30" s="803"/>
      <c r="E30" s="803"/>
      <c r="F30" s="803"/>
      <c r="G30" s="803"/>
      <c r="H30" s="803"/>
      <c r="I30" s="803"/>
      <c r="J30" s="803"/>
      <c r="K30" s="803"/>
      <c r="L30" s="803"/>
      <c r="M30" s="803"/>
      <c r="N30" s="296"/>
      <c r="O30" s="296"/>
    </row>
    <row r="31" spans="1:20" ht="15.75">
      <c r="A31" s="274"/>
      <c r="B31" s="274"/>
      <c r="C31" s="274"/>
      <c r="D31" s="274"/>
      <c r="E31" s="274"/>
      <c r="F31" s="274"/>
      <c r="G31" s="274"/>
      <c r="H31" s="274"/>
      <c r="I31" s="274"/>
      <c r="J31" s="274"/>
      <c r="K31" s="274"/>
      <c r="L31" s="274"/>
      <c r="M31" s="274"/>
      <c r="N31" s="610"/>
      <c r="O31" s="672"/>
      <c r="P31" s="673"/>
      <c r="Q31" s="673"/>
      <c r="R31" s="673"/>
      <c r="S31" s="673"/>
      <c r="T31" s="673"/>
    </row>
    <row r="32" spans="1:20" ht="15.75">
      <c r="A32" s="296"/>
      <c r="B32" s="584" t="s">
        <v>2</v>
      </c>
      <c r="C32" s="617" t="str">
        <f>'Liq. Bal.'!C2:F2</f>
        <v>Utah Dairy Farmer</v>
      </c>
      <c r="D32" s="617"/>
      <c r="E32" s="617"/>
      <c r="F32" s="617"/>
      <c r="G32" s="296"/>
      <c r="H32" s="296"/>
      <c r="I32" s="296"/>
      <c r="J32" s="738" t="s">
        <v>440</v>
      </c>
      <c r="K32" s="738"/>
      <c r="L32" s="802" t="str">
        <f>'Liq. Bal.'!M1</f>
        <v>Manure3.1e.xls</v>
      </c>
      <c r="M32" s="802"/>
      <c r="N32" s="296"/>
      <c r="O32" s="307"/>
      <c r="P32" s="673"/>
      <c r="Q32" s="673"/>
      <c r="R32" s="673"/>
      <c r="S32" s="673"/>
      <c r="T32" s="673"/>
    </row>
    <row r="33" spans="1:20" ht="15.75">
      <c r="A33" s="738" t="s">
        <v>6</v>
      </c>
      <c r="B33" s="738"/>
      <c r="C33" s="741" t="str">
        <f>'Liq. Bal.'!C3</f>
        <v>Any Utah County</v>
      </c>
      <c r="D33" s="741"/>
      <c r="E33" s="741"/>
      <c r="F33" s="296"/>
      <c r="G33" s="296"/>
      <c r="H33" s="296"/>
      <c r="I33" s="296"/>
      <c r="J33" s="296"/>
      <c r="K33" s="603" t="s">
        <v>441</v>
      </c>
      <c r="L33" s="736">
        <f>'Liq. Bal.'!M2</f>
        <v>38737</v>
      </c>
      <c r="M33" s="736"/>
      <c r="N33" s="296"/>
      <c r="O33" s="307"/>
      <c r="P33" s="673"/>
      <c r="Q33" s="673"/>
      <c r="R33" s="673"/>
      <c r="S33" s="673"/>
      <c r="T33" s="673"/>
    </row>
    <row r="34" spans="1:20" ht="15.75">
      <c r="A34" s="738" t="s">
        <v>8</v>
      </c>
      <c r="B34" s="738"/>
      <c r="C34" s="296" t="str">
        <f>'Liq. Bal.'!H3</f>
        <v>Wash Water to Concrete Storage</v>
      </c>
      <c r="D34" s="296"/>
      <c r="E34" s="296"/>
      <c r="F34" s="296"/>
      <c r="G34" s="296"/>
      <c r="H34" s="296"/>
      <c r="I34" s="296"/>
      <c r="J34" s="583"/>
      <c r="K34" s="603" t="s">
        <v>10</v>
      </c>
      <c r="L34" s="394" t="str">
        <f>'Liq. Bal.'!M3</f>
        <v>kig</v>
      </c>
      <c r="M34" s="394"/>
      <c r="N34" s="296"/>
      <c r="O34" s="307"/>
      <c r="P34" s="673"/>
      <c r="Q34" s="673"/>
      <c r="R34" s="673"/>
      <c r="S34" s="673"/>
      <c r="T34" s="673"/>
    </row>
    <row r="35" spans="1:20" ht="15.75">
      <c r="A35" s="610"/>
      <c r="B35" s="610"/>
      <c r="C35" s="610"/>
      <c r="D35" s="610"/>
      <c r="E35" s="610"/>
      <c r="F35" s="610"/>
      <c r="G35" s="610"/>
      <c r="H35" s="610"/>
      <c r="I35" s="610"/>
      <c r="J35" s="610"/>
      <c r="K35" s="610"/>
      <c r="L35" s="610"/>
      <c r="M35" s="610"/>
      <c r="N35" s="610"/>
      <c r="O35" s="672"/>
      <c r="P35" s="673"/>
      <c r="Q35" s="673"/>
      <c r="R35" s="673"/>
      <c r="S35" s="673"/>
      <c r="T35" s="673"/>
    </row>
    <row r="36" spans="1:20" ht="15.75">
      <c r="A36" s="610"/>
      <c r="B36" s="610"/>
      <c r="C36" s="610"/>
      <c r="D36" s="610"/>
      <c r="E36" s="610"/>
      <c r="F36" s="610"/>
      <c r="G36" s="610"/>
      <c r="H36" s="610"/>
      <c r="I36" s="610"/>
      <c r="J36" s="610"/>
      <c r="K36" s="610"/>
      <c r="L36" s="610"/>
      <c r="M36" s="610"/>
      <c r="N36" s="610"/>
      <c r="O36" s="672"/>
      <c r="P36" s="673"/>
      <c r="Q36" s="673"/>
      <c r="R36" s="673"/>
      <c r="S36" s="673"/>
      <c r="T36" s="673"/>
    </row>
    <row r="37" spans="1:20" ht="15.75">
      <c r="A37" s="610"/>
      <c r="B37" s="610"/>
      <c r="C37" s="610"/>
      <c r="D37" s="583"/>
      <c r="E37" s="583"/>
      <c r="F37" s="583"/>
      <c r="G37" s="583"/>
      <c r="H37" s="583"/>
      <c r="I37" s="583"/>
      <c r="J37" s="583"/>
      <c r="K37" s="583"/>
      <c r="L37" s="583"/>
      <c r="M37" s="583"/>
      <c r="N37" s="583"/>
      <c r="O37" s="583"/>
      <c r="P37" s="673"/>
      <c r="Q37" s="673"/>
      <c r="R37" s="673"/>
      <c r="S37" s="673"/>
      <c r="T37" s="673"/>
    </row>
    <row r="38" spans="1:20" ht="15.75">
      <c r="A38" s="738" t="s">
        <v>434</v>
      </c>
      <c r="B38" s="738"/>
      <c r="C38" s="778" t="s">
        <v>437</v>
      </c>
      <c r="D38" s="778"/>
      <c r="E38" s="611"/>
      <c r="F38" s="818" t="s">
        <v>436</v>
      </c>
      <c r="G38" s="818"/>
      <c r="H38" s="818"/>
      <c r="I38" s="818"/>
      <c r="J38" s="818"/>
      <c r="K38" s="609">
        <f>'Liq. Bal.'!O54</f>
        <v>1400</v>
      </c>
      <c r="L38" s="585"/>
      <c r="M38" s="585"/>
      <c r="N38" s="586" t="s">
        <v>4</v>
      </c>
      <c r="O38" s="583"/>
      <c r="P38" s="673"/>
      <c r="Q38" s="673"/>
      <c r="R38" s="673"/>
      <c r="S38" s="673"/>
      <c r="T38" s="673"/>
    </row>
    <row r="39" spans="1:20" ht="15.75">
      <c r="A39" s="738" t="s">
        <v>428</v>
      </c>
      <c r="B39" s="738"/>
      <c r="C39" s="615">
        <v>8</v>
      </c>
      <c r="E39" s="274"/>
      <c r="F39" s="742" t="s">
        <v>433</v>
      </c>
      <c r="G39" s="742"/>
      <c r="H39" s="742"/>
      <c r="I39" s="742"/>
      <c r="J39" s="742"/>
      <c r="K39" s="604">
        <f>8.33*K38/2000</f>
        <v>5.831</v>
      </c>
      <c r="L39" s="585"/>
      <c r="M39" s="585"/>
      <c r="N39" s="586"/>
      <c r="O39" s="583"/>
      <c r="P39" s="673"/>
      <c r="Q39" s="673"/>
      <c r="R39" s="673"/>
      <c r="S39" s="673"/>
      <c r="T39" s="673"/>
    </row>
    <row r="40" spans="1:20" ht="15.75">
      <c r="A40" s="610"/>
      <c r="B40" s="610"/>
      <c r="C40" s="610"/>
      <c r="D40" s="610"/>
      <c r="E40" s="610"/>
      <c r="F40" s="610"/>
      <c r="G40" s="610"/>
      <c r="H40" s="610"/>
      <c r="I40" s="610"/>
      <c r="J40" s="610"/>
      <c r="K40" s="610"/>
      <c r="L40" s="610"/>
      <c r="M40" s="610"/>
      <c r="N40" s="610"/>
      <c r="O40" s="672"/>
      <c r="P40" s="673"/>
      <c r="Q40" s="673"/>
      <c r="R40" s="673"/>
      <c r="S40" s="673"/>
      <c r="T40" s="673"/>
    </row>
    <row r="41" spans="1:20" ht="15.75">
      <c r="A41" s="798"/>
      <c r="B41" s="799"/>
      <c r="C41" s="798" t="s">
        <v>54</v>
      </c>
      <c r="D41" s="799"/>
      <c r="E41" s="589" t="s">
        <v>55</v>
      </c>
      <c r="F41" s="798" t="s">
        <v>405</v>
      </c>
      <c r="G41" s="799"/>
      <c r="H41" s="798" t="s">
        <v>426</v>
      </c>
      <c r="I41" s="816"/>
      <c r="J41" s="809"/>
      <c r="K41" s="810"/>
      <c r="L41" s="809" t="s">
        <v>384</v>
      </c>
      <c r="M41" s="810"/>
      <c r="N41" s="274"/>
      <c r="O41" s="682"/>
      <c r="P41" s="673"/>
      <c r="Q41" s="673"/>
      <c r="R41" s="673"/>
      <c r="S41" s="673"/>
      <c r="T41" s="673"/>
    </row>
    <row r="42" spans="1:20" ht="15.75">
      <c r="A42" s="800"/>
      <c r="B42" s="801"/>
      <c r="C42" s="811" t="s">
        <v>57</v>
      </c>
      <c r="D42" s="812"/>
      <c r="E42" s="590" t="s">
        <v>58</v>
      </c>
      <c r="F42" s="811" t="s">
        <v>438</v>
      </c>
      <c r="G42" s="812"/>
      <c r="H42" s="811" t="s">
        <v>430</v>
      </c>
      <c r="I42" s="813"/>
      <c r="J42" s="814" t="s">
        <v>427</v>
      </c>
      <c r="K42" s="815"/>
      <c r="L42" s="814" t="s">
        <v>432</v>
      </c>
      <c r="M42" s="815"/>
      <c r="N42" s="274"/>
      <c r="O42" s="682"/>
      <c r="P42" s="673"/>
      <c r="Q42" s="673"/>
      <c r="R42" s="673"/>
      <c r="S42" s="673"/>
      <c r="T42" s="673"/>
    </row>
    <row r="43" spans="1:15" ht="15.75">
      <c r="A43" s="735" t="s">
        <v>61</v>
      </c>
      <c r="B43" s="795"/>
      <c r="C43" s="51" t="s">
        <v>54</v>
      </c>
      <c r="D43" s="57" t="s">
        <v>62</v>
      </c>
      <c r="E43" s="591"/>
      <c r="F43" s="72" t="s">
        <v>16</v>
      </c>
      <c r="G43" s="72" t="s">
        <v>17</v>
      </c>
      <c r="H43" s="72" t="s">
        <v>16</v>
      </c>
      <c r="I43" s="72" t="s">
        <v>17</v>
      </c>
      <c r="J43" s="71" t="s">
        <v>16</v>
      </c>
      <c r="K43" s="72" t="s">
        <v>17</v>
      </c>
      <c r="L43" s="72" t="s">
        <v>16</v>
      </c>
      <c r="M43" s="72" t="s">
        <v>17</v>
      </c>
      <c r="N43" s="274"/>
      <c r="O43" s="274"/>
    </row>
    <row r="44" spans="1:15" ht="15.75">
      <c r="A44" s="796" t="str">
        <f>IF('Liq. Bal.'!A35:B35=0," ",'Liq. Bal.'!A35:B35)</f>
        <v>Alfalfa</v>
      </c>
      <c r="B44" s="817"/>
      <c r="C44" s="711" t="str">
        <f>IF('Liq. Bal.'!C35=""," ",'Liq. Bal.'!C35)</f>
        <v>1</v>
      </c>
      <c r="D44" s="720">
        <f>IF('Liq. Bal.'!D35=0," ",'Liq. Bal.'!D35)</f>
        <v>5.6</v>
      </c>
      <c r="E44" s="721">
        <f>IF('Liq. Bal.'!E35=0," ",'Liq. Bal.'!E35)</f>
        <v>6</v>
      </c>
      <c r="F44" s="587">
        <f>IF('Liq. Bal.'!N35=0," ",'Liq. Bal.'!N35)</f>
        <v>6.85347615816666</v>
      </c>
      <c r="G44" s="353">
        <f>IF('Liq. Bal.'!O35=0," ",'Liq. Bal.'!O35)</f>
        <v>77.26159907482264</v>
      </c>
      <c r="H44" s="593">
        <f>IF(F44=" "," ",ROUND((K38/1000)/F44*(43560/C39),-1))</f>
        <v>1110</v>
      </c>
      <c r="I44" s="594">
        <f>IF(G44=" "," ",ROUND((K38/1000)/G44*(43560/C39),-1))</f>
        <v>100</v>
      </c>
      <c r="J44" s="593">
        <f>IF(F44=0," ",F44/(K38/1000))</f>
        <v>4.895340112976186</v>
      </c>
      <c r="K44" s="594">
        <f>IF(G44=" "," ",G44/(K38/1000))</f>
        <v>55.186856482016175</v>
      </c>
      <c r="L44" s="593">
        <f>IF(D44=" "," ",D44*J44)</f>
        <v>27.41390463266664</v>
      </c>
      <c r="M44" s="594">
        <f>IF(D44=" "," ",D44*K44)</f>
        <v>309.04639629929056</v>
      </c>
      <c r="N44" s="274"/>
      <c r="O44" s="274"/>
    </row>
    <row r="45" spans="1:15" ht="15.75">
      <c r="A45" s="743" t="str">
        <f>IF('Liq. Bal.'!A36:B36=0," ",'Liq. Bal.'!A36:B36)</f>
        <v>Corn Silage</v>
      </c>
      <c r="B45" s="806"/>
      <c r="C45" s="711" t="str">
        <f>IF('Liq. Bal.'!C36=""," ",'Liq. Bal.'!C36)</f>
        <v> </v>
      </c>
      <c r="D45" s="712" t="str">
        <f>IF('Liq. Bal.'!D36=0," ",'Liq. Bal.'!D36)</f>
        <v> </v>
      </c>
      <c r="E45" s="722">
        <f>IF('Liq. Bal.'!E36=0," ",'Liq. Bal.'!E36)</f>
        <v>30</v>
      </c>
      <c r="F45" s="592">
        <f>IF('Liq. Bal.'!N36=0," ",'Liq. Bal.'!N36)</f>
        <v>192.75401694843686</v>
      </c>
      <c r="G45" s="571">
        <f>IF('Liq. Bal.'!O36=0," ",'Liq. Bal.'!O36)</f>
        <v>90.04171320750007</v>
      </c>
      <c r="H45" s="595">
        <f>IF(F45=" "," ",ROUND((K38/1000)/F45*(43560/C39),-1))</f>
        <v>40</v>
      </c>
      <c r="I45" s="597">
        <f>IF(G45=" "," ",ROUND((K38/1000)/G45*(43560/C39),-1))</f>
        <v>80</v>
      </c>
      <c r="J45" s="595">
        <f>IF(F45=" "," ",F45/(K38/1000))</f>
        <v>137.6814406774549</v>
      </c>
      <c r="K45" s="597">
        <f>IF(G45=" "," ",G45/(K38/1000))</f>
        <v>64.31550943392863</v>
      </c>
      <c r="L45" s="595" t="str">
        <f aca="true" t="shared" si="2" ref="L45:L51">IF(D45=" "," ",D45*J45)</f>
        <v> </v>
      </c>
      <c r="M45" s="597" t="str">
        <f aca="true" t="shared" si="3" ref="M45:M51">IF(D45=" "," ",D45*K45)</f>
        <v> </v>
      </c>
      <c r="N45" s="274"/>
      <c r="O45" s="274"/>
    </row>
    <row r="46" spans="1:15" ht="15.75">
      <c r="A46" s="743" t="str">
        <f>IF('Liq. Bal.'!A37:B37=0," ",'Liq. Bal.'!A37:B37)</f>
        <v>Grass Pasture</v>
      </c>
      <c r="B46" s="806"/>
      <c r="C46" s="711" t="str">
        <f>IF('Liq. Bal.'!C37=""," ",'Liq. Bal.'!C37)</f>
        <v> </v>
      </c>
      <c r="D46" s="712" t="str">
        <f>IF('Liq. Bal.'!D37=0," ",'Liq. Bal.'!D37)</f>
        <v> </v>
      </c>
      <c r="E46" s="722">
        <f>IF('Liq. Bal.'!E37=0," ",'Liq. Bal.'!E37)</f>
        <v>4</v>
      </c>
      <c r="F46" s="592">
        <f>IF('Liq. Bal.'!N37=0," ",'Liq. Bal.'!N37)</f>
        <v>90.23743608252748</v>
      </c>
      <c r="G46" s="571">
        <f>IF('Liq. Bal.'!O37=0," ",'Liq. Bal.'!O37)</f>
        <v>50.345904159032294</v>
      </c>
      <c r="H46" s="595">
        <f>IF(F46=" "," ",ROUND((K38/1000)/F46*(43560/C39),-1))</f>
        <v>80</v>
      </c>
      <c r="I46" s="597">
        <f>IF(G46=" "," ",ROUND((K38/1000)/G46*(43560/C39),-1))</f>
        <v>150</v>
      </c>
      <c r="J46" s="595">
        <f>IF(F46=" "," ",F46/(K38/1000))</f>
        <v>64.45531148751964</v>
      </c>
      <c r="K46" s="597">
        <f>IF(G46=" "," ",G46/(K38/1000))</f>
        <v>35.961360113594495</v>
      </c>
      <c r="L46" s="595" t="str">
        <f t="shared" si="2"/>
        <v> </v>
      </c>
      <c r="M46" s="597" t="str">
        <f t="shared" si="3"/>
        <v> </v>
      </c>
      <c r="N46" s="274"/>
      <c r="O46" s="274"/>
    </row>
    <row r="47" spans="1:15" ht="15.75">
      <c r="A47" s="743" t="str">
        <f>IF('Liq. Bal.'!A38:B38=0," ",'Liq. Bal.'!A38:B38)</f>
        <v>Wheat, Irrigated</v>
      </c>
      <c r="B47" s="806"/>
      <c r="C47" s="711" t="str">
        <f>IF('Liq. Bal.'!C38=""," ",'Liq. Bal.'!C38)</f>
        <v> </v>
      </c>
      <c r="D47" s="712" t="str">
        <f>IF('Liq. Bal.'!D38=0," ",'Liq. Bal.'!D38)</f>
        <v> </v>
      </c>
      <c r="E47" s="722">
        <f>IF('Liq. Bal.'!E38=0," ",'Liq. Bal.'!E38)</f>
        <v>120</v>
      </c>
      <c r="F47" s="592">
        <f>IF('Liq. Bal.'!N38=0," ",'Liq. Bal.'!N38)</f>
        <v>145.63636836104118</v>
      </c>
      <c r="G47" s="571">
        <f>IF('Liq. Bal.'!O38=0," ",'Liq. Bal.'!O38)</f>
        <v>81.32799902612909</v>
      </c>
      <c r="H47" s="595">
        <f>IF(F47=" "," ",ROUND((K38/1000)/F47*(43560/C39),-1))</f>
        <v>50</v>
      </c>
      <c r="I47" s="597">
        <f>IF(G47=" "," ",ROUND((K38/1000)/G47*(43560/C39),-1))</f>
        <v>90</v>
      </c>
      <c r="J47" s="595">
        <f>IF(F47=" "," ",F47/(K38/1000))</f>
        <v>104.0259774007437</v>
      </c>
      <c r="K47" s="597">
        <f>IF(G47=" "," ",G47/(K38/1000))</f>
        <v>58.091427875806495</v>
      </c>
      <c r="L47" s="595" t="str">
        <f t="shared" si="2"/>
        <v> </v>
      </c>
      <c r="M47" s="597" t="str">
        <f t="shared" si="3"/>
        <v> </v>
      </c>
      <c r="N47" s="274"/>
      <c r="O47" s="274"/>
    </row>
    <row r="48" spans="1:15" ht="15.75">
      <c r="A48" s="743" t="str">
        <f>IF('Liq. Bal.'!A39:B39=0," ",'Liq. Bal.'!A39:B39)</f>
        <v> </v>
      </c>
      <c r="B48" s="806"/>
      <c r="C48" s="711" t="str">
        <f>IF('Liq. Bal.'!C39=""," ",'Liq. Bal.'!C39)</f>
        <v> </v>
      </c>
      <c r="D48" s="712" t="str">
        <f>IF('Liq. Bal.'!D39=0," ",'Liq. Bal.'!D39)</f>
        <v> </v>
      </c>
      <c r="E48" s="722" t="str">
        <f>IF('Liq. Bal.'!E39=0," ",'Liq. Bal.'!E39)</f>
        <v> </v>
      </c>
      <c r="F48" s="592" t="str">
        <f>IF('Liq. Bal.'!N39=0," ",'Liq. Bal.'!N39)</f>
        <v> </v>
      </c>
      <c r="G48" s="571" t="str">
        <f>IF('Liq. Bal.'!O39=0," ",'Liq. Bal.'!O39)</f>
        <v> </v>
      </c>
      <c r="H48" s="595" t="str">
        <f>IF(F48=" "," ",ROUND((K38/1000)/F48*(43560/C39),-1))</f>
        <v> </v>
      </c>
      <c r="I48" s="597" t="str">
        <f>IF(G48=" "," ",ROUND((K38/1000)/G48*(43560/C39),-1))</f>
        <v> </v>
      </c>
      <c r="J48" s="595" t="str">
        <f>IF(F48=" "," ",F48/(K38/1000))</f>
        <v> </v>
      </c>
      <c r="K48" s="597" t="str">
        <f>IF(G48=" "," ",G48/(K38/1000))</f>
        <v> </v>
      </c>
      <c r="L48" s="595" t="str">
        <f t="shared" si="2"/>
        <v> </v>
      </c>
      <c r="M48" s="597" t="str">
        <f t="shared" si="3"/>
        <v> </v>
      </c>
      <c r="N48" s="274"/>
      <c r="O48" s="274"/>
    </row>
    <row r="49" spans="1:15" ht="15.75">
      <c r="A49" s="743" t="str">
        <f>IF('Liq. Bal.'!A40:B40=0," ",'Liq. Bal.'!A40:B40)</f>
        <v> </v>
      </c>
      <c r="B49" s="806"/>
      <c r="C49" s="711" t="str">
        <f>IF('Liq. Bal.'!C40=""," ",'Liq. Bal.'!C40)</f>
        <v> </v>
      </c>
      <c r="D49" s="712" t="str">
        <f>IF('Liq. Bal.'!D40=0," ",'Liq. Bal.'!D40)</f>
        <v> </v>
      </c>
      <c r="E49" s="722" t="str">
        <f>IF('Liq. Bal.'!E40=0," ",'Liq. Bal.'!E40)</f>
        <v> </v>
      </c>
      <c r="F49" s="592" t="str">
        <f>IF('Liq. Bal.'!N40=0," ",'Liq. Bal.'!N40)</f>
        <v> </v>
      </c>
      <c r="G49" s="571" t="str">
        <f>IF('Liq. Bal.'!O40=0," ",'Liq. Bal.'!O40)</f>
        <v> </v>
      </c>
      <c r="H49" s="595" t="str">
        <f>IF(F49=" "," ",ROUND((K38/1000)/F49*(43560/C39),-1))</f>
        <v> </v>
      </c>
      <c r="I49" s="597" t="str">
        <f>IF(G49=" "," ",ROUND((K38/1000)/G49*(43560/C39),-1))</f>
        <v> </v>
      </c>
      <c r="J49" s="595" t="str">
        <f>IF(F49=" "," ",F49/(K38/1000))</f>
        <v> </v>
      </c>
      <c r="K49" s="597" t="str">
        <f>IF(G49=" "," ",G49/(K38/1000))</f>
        <v> </v>
      </c>
      <c r="L49" s="595" t="str">
        <f t="shared" si="2"/>
        <v> </v>
      </c>
      <c r="M49" s="597" t="str">
        <f t="shared" si="3"/>
        <v> </v>
      </c>
      <c r="N49" s="274"/>
      <c r="O49" s="274"/>
    </row>
    <row r="50" spans="1:15" ht="15.75">
      <c r="A50" s="743" t="str">
        <f>IF('Liq. Bal.'!A41:B41=0," ",'Liq. Bal.'!A41:B41)</f>
        <v> </v>
      </c>
      <c r="B50" s="806"/>
      <c r="C50" s="711" t="str">
        <f>IF('Liq. Bal.'!C41=""," ",'Liq. Bal.'!C41)</f>
        <v> </v>
      </c>
      <c r="D50" s="712" t="str">
        <f>IF('Liq. Bal.'!D41=0," ",'Liq. Bal.'!D41)</f>
        <v> </v>
      </c>
      <c r="E50" s="722" t="str">
        <f>IF('Liq. Bal.'!E41=0," ",'Liq. Bal.'!E41)</f>
        <v> </v>
      </c>
      <c r="F50" s="592" t="str">
        <f>IF('Liq. Bal.'!N41=0," ",'Liq. Bal.'!N41)</f>
        <v> </v>
      </c>
      <c r="G50" s="571" t="str">
        <f>IF('Liq. Bal.'!O41=0," ",'Liq. Bal.'!O41)</f>
        <v> </v>
      </c>
      <c r="H50" s="595" t="str">
        <f>IF(F50=" "," ",ROUND((K38/1000)/F50*(43560/C39),-1))</f>
        <v> </v>
      </c>
      <c r="I50" s="597" t="str">
        <f>IF(G50=" "," ",ROUND((K38/1000)/G50*(43560/C39),-1))</f>
        <v> </v>
      </c>
      <c r="J50" s="595" t="str">
        <f>IF(F50=" "," ",F50/(K38/1000))</f>
        <v> </v>
      </c>
      <c r="K50" s="597" t="str">
        <f>IF(G50=" "," ",G50/(K38/1000))</f>
        <v> </v>
      </c>
      <c r="L50" s="595" t="str">
        <f t="shared" si="2"/>
        <v> </v>
      </c>
      <c r="M50" s="597" t="str">
        <f t="shared" si="3"/>
        <v> </v>
      </c>
      <c r="N50" s="274"/>
      <c r="O50" s="274"/>
    </row>
    <row r="51" spans="1:15" ht="15.75">
      <c r="A51" s="804" t="str">
        <f>IF('Liq. Bal.'!A42:B42=0," ",'Liq. Bal.'!A42:B42)</f>
        <v> </v>
      </c>
      <c r="B51" s="805"/>
      <c r="C51" s="714" t="str">
        <f>IF('Liq. Bal.'!C42=""," ",'Liq. Bal.'!C42)</f>
        <v> </v>
      </c>
      <c r="D51" s="715" t="str">
        <f>IF('Liq. Bal.'!D42=0," ",'Liq. Bal.'!D42)</f>
        <v> </v>
      </c>
      <c r="E51" s="723" t="str">
        <f>IF('Liq. Bal.'!E42=0," ",'Liq. Bal.'!E42)</f>
        <v> </v>
      </c>
      <c r="F51" s="588" t="str">
        <f>IF('Liq. Bal.'!N42=0," ",'Liq. Bal.'!N42)</f>
        <v> </v>
      </c>
      <c r="G51" s="572" t="str">
        <f>IF('Liq. Bal.'!O42=0," ",'Liq. Bal.'!O42)</f>
        <v> </v>
      </c>
      <c r="H51" s="596" t="str">
        <f>IF(F51=" "," ",ROUND((K38/1000)/F51*(43560/C39),-1))</f>
        <v> </v>
      </c>
      <c r="I51" s="598" t="str">
        <f>IF(G51=" "," ",ROUND((K38/1000)/G51*(43560/C39),-1))</f>
        <v> </v>
      </c>
      <c r="J51" s="596" t="str">
        <f>IF(F51=" "," ",F51/(K38/1000))</f>
        <v> </v>
      </c>
      <c r="K51" s="598" t="str">
        <f>IF(G51=" "," ",G51/(K38/1000))</f>
        <v> </v>
      </c>
      <c r="L51" s="596" t="str">
        <f t="shared" si="2"/>
        <v> </v>
      </c>
      <c r="M51" s="598" t="str">
        <f t="shared" si="3"/>
        <v> </v>
      </c>
      <c r="N51" s="274"/>
      <c r="O51" s="274"/>
    </row>
    <row r="52" spans="1:15" ht="15.75">
      <c r="A52" s="676"/>
      <c r="B52" s="676"/>
      <c r="C52" s="679"/>
      <c r="D52" s="677"/>
      <c r="E52" s="678"/>
      <c r="F52" s="680"/>
      <c r="G52" s="680"/>
      <c r="H52" s="681"/>
      <c r="I52" s="681"/>
      <c r="J52" s="681"/>
      <c r="K52" s="681"/>
      <c r="L52" s="681"/>
      <c r="M52" s="681"/>
      <c r="N52" s="274"/>
      <c r="O52" s="274"/>
    </row>
    <row r="53" spans="1:15" ht="15.75">
      <c r="A53" s="676"/>
      <c r="B53" s="676"/>
      <c r="C53" s="679"/>
      <c r="D53" s="677"/>
      <c r="E53" s="678"/>
      <c r="F53" s="680"/>
      <c r="G53" s="680"/>
      <c r="H53" s="681"/>
      <c r="I53" s="681"/>
      <c r="J53" s="681"/>
      <c r="K53" s="681"/>
      <c r="L53" s="681"/>
      <c r="M53" s="681"/>
      <c r="N53" s="274"/>
      <c r="O53" s="274"/>
    </row>
    <row r="54" spans="1:15" ht="15.75">
      <c r="A54" s="737" t="s">
        <v>478</v>
      </c>
      <c r="B54" s="737"/>
      <c r="C54" s="737"/>
      <c r="D54" s="737"/>
      <c r="E54" s="737"/>
      <c r="F54" s="737"/>
      <c r="G54" s="737"/>
      <c r="H54" s="737"/>
      <c r="I54" s="737"/>
      <c r="J54" s="737"/>
      <c r="K54" s="737"/>
      <c r="L54" s="739">
        <f>'Liq. Bal.'!S50</f>
        <v>5.5869205263157875</v>
      </c>
      <c r="M54" s="740"/>
      <c r="N54" s="296"/>
      <c r="O54" s="296"/>
    </row>
    <row r="55" spans="1:15" ht="15.75">
      <c r="A55" s="236"/>
      <c r="B55" s="236"/>
      <c r="C55" s="236"/>
      <c r="D55" s="236"/>
      <c r="E55" s="236"/>
      <c r="F55" s="236"/>
      <c r="G55" s="236"/>
      <c r="H55" s="236"/>
      <c r="I55" s="236"/>
      <c r="J55" s="236"/>
      <c r="K55" s="236"/>
      <c r="L55" s="236"/>
      <c r="M55" s="236"/>
      <c r="N55" s="236"/>
      <c r="O55" s="236"/>
    </row>
    <row r="56" spans="1:15" ht="15.75">
      <c r="A56" s="236"/>
      <c r="B56" s="236"/>
      <c r="C56" s="236"/>
      <c r="D56" s="236"/>
      <c r="E56" s="236"/>
      <c r="F56" s="236"/>
      <c r="G56" s="236"/>
      <c r="H56" s="236"/>
      <c r="I56" s="236"/>
      <c r="J56" s="236"/>
      <c r="K56" s="236"/>
      <c r="L56" s="236"/>
      <c r="M56" s="236"/>
      <c r="N56" s="236"/>
      <c r="O56" s="236"/>
    </row>
    <row r="57" spans="1:15" ht="15.75">
      <c r="A57" s="236"/>
      <c r="B57" s="236"/>
      <c r="C57" s="236"/>
      <c r="D57" s="236"/>
      <c r="E57" s="236"/>
      <c r="F57" s="236"/>
      <c r="G57" s="236"/>
      <c r="H57" s="236"/>
      <c r="I57" s="236"/>
      <c r="J57" s="236"/>
      <c r="K57" s="236"/>
      <c r="L57" s="236"/>
      <c r="M57" s="236"/>
      <c r="N57" s="236"/>
      <c r="O57" s="236"/>
    </row>
    <row r="58" spans="1:15" ht="15.75">
      <c r="A58" s="236"/>
      <c r="B58" s="236"/>
      <c r="C58" s="236"/>
      <c r="D58" s="236"/>
      <c r="E58" s="236"/>
      <c r="F58" s="236"/>
      <c r="G58" s="236"/>
      <c r="H58" s="236"/>
      <c r="I58" s="236"/>
      <c r="J58" s="236"/>
      <c r="K58" s="236"/>
      <c r="L58" s="236"/>
      <c r="M58" s="236"/>
      <c r="N58" s="236"/>
      <c r="O58" s="236"/>
    </row>
    <row r="59" spans="1:15" ht="15.75">
      <c r="A59" s="236"/>
      <c r="B59" s="236"/>
      <c r="C59" s="236"/>
      <c r="D59" s="236"/>
      <c r="E59" s="236"/>
      <c r="F59" s="236"/>
      <c r="G59" s="236"/>
      <c r="H59" s="236"/>
      <c r="I59" s="236"/>
      <c r="J59" s="236"/>
      <c r="K59" s="236"/>
      <c r="L59" s="236"/>
      <c r="M59" s="236"/>
      <c r="N59" s="236"/>
      <c r="O59" s="236"/>
    </row>
    <row r="60" spans="1:15" ht="15.75">
      <c r="A60" s="236"/>
      <c r="B60" s="236"/>
      <c r="C60" s="236"/>
      <c r="D60" s="236"/>
      <c r="E60" s="236"/>
      <c r="F60" s="236"/>
      <c r="G60" s="236"/>
      <c r="H60" s="236"/>
      <c r="I60" s="236"/>
      <c r="J60" s="236"/>
      <c r="K60" s="236"/>
      <c r="L60" s="236"/>
      <c r="M60" s="236"/>
      <c r="N60" s="236"/>
      <c r="O60" s="236"/>
    </row>
    <row r="61" spans="1:15" ht="15.75">
      <c r="A61" s="236"/>
      <c r="B61" s="236"/>
      <c r="C61" s="236"/>
      <c r="D61" s="236"/>
      <c r="E61" s="236"/>
      <c r="F61" s="236"/>
      <c r="G61" s="236"/>
      <c r="H61" s="236"/>
      <c r="I61" s="236"/>
      <c r="J61" s="236"/>
      <c r="K61" s="236"/>
      <c r="L61" s="236"/>
      <c r="M61" s="236"/>
      <c r="N61" s="236"/>
      <c r="O61" s="236"/>
    </row>
    <row r="62" spans="1:15" ht="15.75">
      <c r="A62" s="236"/>
      <c r="B62" s="236"/>
      <c r="C62" s="236"/>
      <c r="D62" s="236"/>
      <c r="E62" s="236"/>
      <c r="F62" s="236"/>
      <c r="G62" s="236"/>
      <c r="H62" s="236"/>
      <c r="I62" s="236"/>
      <c r="J62" s="236"/>
      <c r="K62" s="236"/>
      <c r="L62" s="236"/>
      <c r="M62" s="236"/>
      <c r="N62" s="236"/>
      <c r="O62" s="236"/>
    </row>
    <row r="63" spans="1:15" ht="15.75">
      <c r="A63" s="236"/>
      <c r="B63" s="236"/>
      <c r="C63" s="236"/>
      <c r="D63" s="236"/>
      <c r="E63" s="236"/>
      <c r="F63" s="236"/>
      <c r="G63" s="236"/>
      <c r="H63" s="236"/>
      <c r="I63" s="236"/>
      <c r="J63" s="236"/>
      <c r="K63" s="236"/>
      <c r="L63" s="236"/>
      <c r="M63" s="236"/>
      <c r="N63" s="236"/>
      <c r="O63" s="236"/>
    </row>
    <row r="64" spans="1:15" ht="15.75">
      <c r="A64" s="236"/>
      <c r="B64" s="236"/>
      <c r="C64" s="236"/>
      <c r="D64" s="236"/>
      <c r="E64" s="236"/>
      <c r="F64" s="236"/>
      <c r="G64" s="236"/>
      <c r="H64" s="236"/>
      <c r="I64" s="236"/>
      <c r="J64" s="236"/>
      <c r="K64" s="236"/>
      <c r="L64" s="236"/>
      <c r="M64" s="236"/>
      <c r="N64" s="236"/>
      <c r="O64" s="236"/>
    </row>
    <row r="65" spans="1:15" ht="15.75">
      <c r="A65" s="236"/>
      <c r="B65" s="236"/>
      <c r="C65" s="236"/>
      <c r="D65" s="236"/>
      <c r="E65" s="236"/>
      <c r="F65" s="236"/>
      <c r="G65" s="236"/>
      <c r="H65" s="236"/>
      <c r="I65" s="236"/>
      <c r="J65" s="236"/>
      <c r="K65" s="236"/>
      <c r="L65" s="236"/>
      <c r="M65" s="236"/>
      <c r="N65" s="236"/>
      <c r="O65" s="236"/>
    </row>
    <row r="66" spans="1:15" ht="15.75">
      <c r="A66" s="236"/>
      <c r="B66" s="236"/>
      <c r="C66" s="236"/>
      <c r="D66" s="236"/>
      <c r="E66" s="236"/>
      <c r="F66" s="236"/>
      <c r="G66" s="236"/>
      <c r="H66" s="236"/>
      <c r="I66" s="236"/>
      <c r="J66" s="236"/>
      <c r="K66" s="236"/>
      <c r="L66" s="236"/>
      <c r="M66" s="236"/>
      <c r="N66" s="236"/>
      <c r="O66" s="236"/>
    </row>
    <row r="67" spans="1:15" ht="15.75">
      <c r="A67" s="236"/>
      <c r="B67" s="236"/>
      <c r="C67" s="236"/>
      <c r="D67" s="236"/>
      <c r="E67" s="236"/>
      <c r="F67" s="236"/>
      <c r="G67" s="236"/>
      <c r="H67" s="236"/>
      <c r="I67" s="236"/>
      <c r="J67" s="236"/>
      <c r="K67" s="236"/>
      <c r="L67" s="236"/>
      <c r="M67" s="236"/>
      <c r="N67" s="236"/>
      <c r="O67" s="236"/>
    </row>
    <row r="68" spans="1:15" ht="15.75">
      <c r="A68" s="236"/>
      <c r="B68" s="236"/>
      <c r="C68" s="236"/>
      <c r="D68" s="236"/>
      <c r="E68" s="236"/>
      <c r="F68" s="236"/>
      <c r="G68" s="236"/>
      <c r="H68" s="236"/>
      <c r="I68" s="236"/>
      <c r="J68" s="236"/>
      <c r="K68" s="236"/>
      <c r="L68" s="236"/>
      <c r="M68" s="236"/>
      <c r="N68" s="236"/>
      <c r="O68" s="236"/>
    </row>
    <row r="69" spans="1:15" ht="15.75">
      <c r="A69" s="236"/>
      <c r="B69" s="236"/>
      <c r="C69" s="236"/>
      <c r="D69" s="236"/>
      <c r="E69" s="236"/>
      <c r="F69" s="236"/>
      <c r="G69" s="236"/>
      <c r="H69" s="236"/>
      <c r="I69" s="236"/>
      <c r="J69" s="236"/>
      <c r="K69" s="236"/>
      <c r="L69" s="236"/>
      <c r="M69" s="236"/>
      <c r="N69" s="236"/>
      <c r="O69" s="236"/>
    </row>
    <row r="70" spans="1:15" ht="15.75">
      <c r="A70" s="236"/>
      <c r="B70" s="236"/>
      <c r="C70" s="236"/>
      <c r="D70" s="236"/>
      <c r="E70" s="236"/>
      <c r="F70" s="236"/>
      <c r="G70" s="236"/>
      <c r="H70" s="236"/>
      <c r="I70" s="236"/>
      <c r="J70" s="236"/>
      <c r="K70" s="236"/>
      <c r="L70" s="236"/>
      <c r="M70" s="236"/>
      <c r="N70" s="236"/>
      <c r="O70" s="236"/>
    </row>
    <row r="71" spans="1:15" ht="15.75">
      <c r="A71" s="236"/>
      <c r="B71" s="236"/>
      <c r="C71" s="236"/>
      <c r="D71" s="236"/>
      <c r="E71" s="236"/>
      <c r="F71" s="236"/>
      <c r="G71" s="236"/>
      <c r="H71" s="236"/>
      <c r="I71" s="236"/>
      <c r="J71" s="236"/>
      <c r="K71" s="236"/>
      <c r="L71" s="236"/>
      <c r="M71" s="236"/>
      <c r="N71" s="236"/>
      <c r="O71" s="236"/>
    </row>
    <row r="72" spans="1:15" ht="15.75">
      <c r="A72" s="236"/>
      <c r="B72" s="236"/>
      <c r="C72" s="236"/>
      <c r="D72" s="236"/>
      <c r="E72" s="236"/>
      <c r="F72" s="236"/>
      <c r="G72" s="236"/>
      <c r="H72" s="236"/>
      <c r="I72" s="236"/>
      <c r="J72" s="236"/>
      <c r="K72" s="236"/>
      <c r="L72" s="236"/>
      <c r="M72" s="236"/>
      <c r="N72" s="236"/>
      <c r="O72" s="236"/>
    </row>
  </sheetData>
  <sheetProtection password="CF5F" sheet="1" objects="1" scenarios="1"/>
  <mergeCells count="71">
    <mergeCell ref="J9:M9"/>
    <mergeCell ref="N12:O12"/>
    <mergeCell ref="N13:O13"/>
    <mergeCell ref="J12:K12"/>
    <mergeCell ref="J13:K13"/>
    <mergeCell ref="L12:M12"/>
    <mergeCell ref="L13:M13"/>
    <mergeCell ref="F38:J38"/>
    <mergeCell ref="A23:B23"/>
    <mergeCell ref="F12:G12"/>
    <mergeCell ref="F13:G13"/>
    <mergeCell ref="H12:I12"/>
    <mergeCell ref="H13:I13"/>
    <mergeCell ref="A19:B19"/>
    <mergeCell ref="A20:B20"/>
    <mergeCell ref="A21:B21"/>
    <mergeCell ref="C13:D13"/>
    <mergeCell ref="A44:B44"/>
    <mergeCell ref="A41:B42"/>
    <mergeCell ref="C38:D38"/>
    <mergeCell ref="A38:B38"/>
    <mergeCell ref="J41:K41"/>
    <mergeCell ref="L41:M41"/>
    <mergeCell ref="C42:D42"/>
    <mergeCell ref="F42:G42"/>
    <mergeCell ref="H42:I42"/>
    <mergeCell ref="J42:K42"/>
    <mergeCell ref="L42:M42"/>
    <mergeCell ref="H41:I41"/>
    <mergeCell ref="A1:O1"/>
    <mergeCell ref="A16:B16"/>
    <mergeCell ref="A43:B43"/>
    <mergeCell ref="A39:B39"/>
    <mergeCell ref="C41:D41"/>
    <mergeCell ref="F41:G41"/>
    <mergeCell ref="F39:J39"/>
    <mergeCell ref="A9:B9"/>
    <mergeCell ref="E9:H9"/>
    <mergeCell ref="A5:B5"/>
    <mergeCell ref="A51:B51"/>
    <mergeCell ref="A45:B45"/>
    <mergeCell ref="A46:B46"/>
    <mergeCell ref="A47:B47"/>
    <mergeCell ref="A48:B48"/>
    <mergeCell ref="A49:B49"/>
    <mergeCell ref="A50:B50"/>
    <mergeCell ref="A12:B13"/>
    <mergeCell ref="J32:K32"/>
    <mergeCell ref="L32:M32"/>
    <mergeCell ref="L33:M33"/>
    <mergeCell ref="A30:M30"/>
    <mergeCell ref="A4:B4"/>
    <mergeCell ref="C9:D9"/>
    <mergeCell ref="E10:H10"/>
    <mergeCell ref="A22:B22"/>
    <mergeCell ref="A17:B17"/>
    <mergeCell ref="A18:B18"/>
    <mergeCell ref="A14:B14"/>
    <mergeCell ref="A15:B15"/>
    <mergeCell ref="C12:D12"/>
    <mergeCell ref="A10:B10"/>
    <mergeCell ref="L4:M4"/>
    <mergeCell ref="A54:K54"/>
    <mergeCell ref="A34:B34"/>
    <mergeCell ref="J3:K3"/>
    <mergeCell ref="L27:M27"/>
    <mergeCell ref="L54:M54"/>
    <mergeCell ref="A27:K27"/>
    <mergeCell ref="A26:K26"/>
    <mergeCell ref="A33:B33"/>
    <mergeCell ref="C33:E33"/>
  </mergeCells>
  <printOptions horizontalCentered="1"/>
  <pageMargins left="0.75" right="0.75" top="1.25" bottom="1" header="0.5" footer="0.5"/>
  <pageSetup horizontalDpi="300" verticalDpi="300" orientation="portrait" scale="70" r:id="rId1"/>
  <headerFooter alignWithMargins="0">
    <oddHeader>&amp;C&amp;"Times New Roman,Bold"&amp;12USDA NATURAL RESOURCES CONSERVATION SERVICE</oddHeader>
  </headerFooter>
  <rowBreaks count="1" manualBreakCount="1">
    <brk id="28" max="14" man="1"/>
  </rowBreaks>
</worksheet>
</file>

<file path=xl/worksheets/sheet5.xml><?xml version="1.0" encoding="utf-8"?>
<worksheet xmlns="http://schemas.openxmlformats.org/spreadsheetml/2006/main" xmlns:r="http://schemas.openxmlformats.org/officeDocument/2006/relationships">
  <dimension ref="A1:AT100"/>
  <sheetViews>
    <sheetView zoomScale="75" zoomScaleNormal="75" workbookViewId="0" topLeftCell="A1">
      <selection activeCell="C3" sqref="C3:E3"/>
    </sheetView>
  </sheetViews>
  <sheetFormatPr defaultColWidth="9.140625" defaultRowHeight="12.75"/>
  <cols>
    <col min="1" max="1" width="5.7109375" style="0" customWidth="1"/>
    <col min="2" max="2" width="7.7109375" style="0" customWidth="1"/>
    <col min="3" max="3" width="12.8515625" style="0" customWidth="1"/>
    <col min="4" max="15" width="5.7109375" style="0" customWidth="1"/>
    <col min="17" max="17" width="12.57421875" style="0" customWidth="1"/>
    <col min="18" max="19" width="9.8515625" style="0" bestFit="1" customWidth="1"/>
    <col min="20" max="20" width="11.00390625" style="0" bestFit="1" customWidth="1"/>
    <col min="22" max="23" width="9.7109375" style="0" customWidth="1"/>
    <col min="28" max="28" width="14.28125" style="0" customWidth="1"/>
  </cols>
  <sheetData>
    <row r="1" spans="1:46" ht="20.25">
      <c r="A1" s="408" t="s">
        <v>495</v>
      </c>
      <c r="B1" s="408"/>
      <c r="C1" s="861" t="s">
        <v>470</v>
      </c>
      <c r="D1" s="861"/>
      <c r="E1" s="861"/>
      <c r="F1" s="861"/>
      <c r="G1" s="861"/>
      <c r="H1" s="861"/>
      <c r="I1" s="861"/>
      <c r="J1" s="861"/>
      <c r="K1" s="861"/>
      <c r="L1" s="861"/>
      <c r="M1" s="861"/>
      <c r="N1" s="861"/>
      <c r="O1" s="86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row>
    <row r="2" spans="1:46" ht="15.75">
      <c r="A2" s="296"/>
      <c r="B2" s="296"/>
      <c r="C2" s="296"/>
      <c r="D2" s="296"/>
      <c r="E2" s="296"/>
      <c r="F2" s="296"/>
      <c r="G2" s="296"/>
      <c r="H2" s="296"/>
      <c r="I2" s="296"/>
      <c r="J2" s="296"/>
      <c r="K2" s="296"/>
      <c r="L2" s="296"/>
      <c r="M2" s="296"/>
      <c r="N2" s="296"/>
      <c r="O2" s="296"/>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row>
    <row r="3" spans="1:46" ht="15.75">
      <c r="A3" s="306" t="s">
        <v>217</v>
      </c>
      <c r="B3" s="306"/>
      <c r="C3" s="778" t="s">
        <v>3</v>
      </c>
      <c r="D3" s="778"/>
      <c r="E3" s="778"/>
      <c r="G3" s="296" t="s">
        <v>218</v>
      </c>
      <c r="H3" s="855">
        <f ca="1">TODAY()</f>
        <v>38737</v>
      </c>
      <c r="I3" s="855"/>
      <c r="K3" s="306" t="s">
        <v>219</v>
      </c>
      <c r="L3" s="778" t="s">
        <v>11</v>
      </c>
      <c r="M3" s="778"/>
      <c r="N3" s="778"/>
      <c r="O3" s="617"/>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row>
    <row r="4" spans="1:46" ht="16.5" thickBot="1">
      <c r="A4" s="296"/>
      <c r="B4" s="296"/>
      <c r="C4" s="296"/>
      <c r="D4" s="296"/>
      <c r="E4" s="296"/>
      <c r="F4" s="296"/>
      <c r="G4" s="296"/>
      <c r="H4" s="296"/>
      <c r="I4" s="296"/>
      <c r="J4" s="296"/>
      <c r="K4" s="296"/>
      <c r="L4" s="296"/>
      <c r="M4" s="296"/>
      <c r="N4" s="296"/>
      <c r="O4" s="296"/>
      <c r="P4" s="201"/>
      <c r="Q4" s="841" t="s">
        <v>491</v>
      </c>
      <c r="R4" s="842"/>
      <c r="S4" s="842"/>
      <c r="T4" s="843"/>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row>
    <row r="5" spans="1:46" ht="15.75">
      <c r="A5" s="331" t="s">
        <v>220</v>
      </c>
      <c r="B5" s="332"/>
      <c r="C5" s="332"/>
      <c r="D5" s="844" t="s">
        <v>514</v>
      </c>
      <c r="E5" s="845"/>
      <c r="F5" s="845"/>
      <c r="G5" s="845"/>
      <c r="H5" s="845"/>
      <c r="I5" s="845"/>
      <c r="J5" s="845"/>
      <c r="K5" s="845"/>
      <c r="L5" s="845"/>
      <c r="M5" s="845"/>
      <c r="N5" s="845"/>
      <c r="O5" s="846"/>
      <c r="P5" s="201"/>
      <c r="Q5" s="701"/>
      <c r="R5" s="732" t="s">
        <v>16</v>
      </c>
      <c r="S5" s="732" t="s">
        <v>17</v>
      </c>
      <c r="T5" s="732" t="s">
        <v>18</v>
      </c>
      <c r="U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row>
    <row r="6" spans="1:46" ht="15.75">
      <c r="A6" s="333" t="s">
        <v>221</v>
      </c>
      <c r="B6" s="334"/>
      <c r="C6" s="334"/>
      <c r="D6" s="847" t="s">
        <v>64</v>
      </c>
      <c r="E6" s="848"/>
      <c r="F6" s="730">
        <v>4</v>
      </c>
      <c r="G6" s="847" t="s">
        <v>68</v>
      </c>
      <c r="H6" s="848"/>
      <c r="I6" s="730">
        <v>1</v>
      </c>
      <c r="J6" s="847" t="s">
        <v>68</v>
      </c>
      <c r="K6" s="848"/>
      <c r="L6" s="730">
        <v>1</v>
      </c>
      <c r="M6" s="847" t="s">
        <v>509</v>
      </c>
      <c r="N6" s="848"/>
      <c r="O6" s="730">
        <v>1</v>
      </c>
      <c r="P6" s="201"/>
      <c r="Q6" s="701" t="s">
        <v>492</v>
      </c>
      <c r="R6" s="724">
        <v>0.11</v>
      </c>
      <c r="S6" s="724">
        <v>0.45</v>
      </c>
      <c r="T6" s="724">
        <v>0</v>
      </c>
      <c r="U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row>
    <row r="7" spans="1:46" ht="16.5" customHeight="1" thickBot="1">
      <c r="A7" s="335" t="s">
        <v>222</v>
      </c>
      <c r="B7" s="705"/>
      <c r="C7" s="336"/>
      <c r="D7" s="856">
        <v>6</v>
      </c>
      <c r="E7" s="857"/>
      <c r="F7" s="731" t="str">
        <f>IF(D6=" "," ",VLOOKUP($D6,'Crop Uptk'!$A$5:$E$38,2,TRUE))</f>
        <v>tons</v>
      </c>
      <c r="G7" s="856">
        <v>30</v>
      </c>
      <c r="H7" s="857"/>
      <c r="I7" s="731" t="str">
        <f>IF(G6=" "," ",VLOOKUP($G6,'Crop Uptk'!$A$5:$E$38,2,TRUE))</f>
        <v>tons</v>
      </c>
      <c r="J7" s="856">
        <v>30</v>
      </c>
      <c r="K7" s="857"/>
      <c r="L7" s="731" t="str">
        <f>IF(J6=" "," ",VLOOKUP($J6,'Crop Uptk'!$A$5:$E$38,2,TRUE))</f>
        <v>tons</v>
      </c>
      <c r="M7" s="856">
        <v>120</v>
      </c>
      <c r="N7" s="857"/>
      <c r="O7" s="731" t="str">
        <f>IF(M6=" "," ",VLOOKUP($M6,'Crop Uptk'!$A$5:$E$38,2,TRUE))</f>
        <v>bu</v>
      </c>
      <c r="P7" s="201"/>
      <c r="Q7" s="834" t="s">
        <v>517</v>
      </c>
      <c r="R7" s="819">
        <f>T9*R6</f>
        <v>19.580000000000002</v>
      </c>
      <c r="S7" s="819">
        <f>T9*S6</f>
        <v>80.10000000000001</v>
      </c>
      <c r="T7" s="819">
        <f>T9*T6</f>
        <v>0</v>
      </c>
      <c r="U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row>
    <row r="8" spans="1:46" ht="16.5" thickBot="1">
      <c r="A8" s="296"/>
      <c r="B8" s="296"/>
      <c r="C8" s="296"/>
      <c r="D8" s="307"/>
      <c r="E8" s="307"/>
      <c r="F8" s="369"/>
      <c r="G8" s="307"/>
      <c r="H8" s="307"/>
      <c r="I8" s="307"/>
      <c r="J8" s="307"/>
      <c r="K8" s="307"/>
      <c r="L8" s="307"/>
      <c r="M8" s="307"/>
      <c r="N8" s="307"/>
      <c r="O8" s="307"/>
      <c r="P8" s="201"/>
      <c r="Q8" s="834"/>
      <c r="R8" s="819"/>
      <c r="S8" s="819"/>
      <c r="T8" s="819"/>
      <c r="U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row>
    <row r="9" spans="1:46" ht="15.75">
      <c r="A9" s="309" t="s">
        <v>225</v>
      </c>
      <c r="B9" s="706"/>
      <c r="C9" s="310"/>
      <c r="D9" s="316" t="s">
        <v>16</v>
      </c>
      <c r="E9" s="317" t="s">
        <v>17</v>
      </c>
      <c r="F9" s="318" t="s">
        <v>18</v>
      </c>
      <c r="G9" s="316" t="s">
        <v>16</v>
      </c>
      <c r="H9" s="317" t="s">
        <v>17</v>
      </c>
      <c r="I9" s="318" t="s">
        <v>18</v>
      </c>
      <c r="J9" s="316" t="s">
        <v>16</v>
      </c>
      <c r="K9" s="317" t="s">
        <v>17</v>
      </c>
      <c r="L9" s="318" t="s">
        <v>18</v>
      </c>
      <c r="M9" s="316" t="s">
        <v>16</v>
      </c>
      <c r="N9" s="317" t="s">
        <v>17</v>
      </c>
      <c r="O9" s="318" t="s">
        <v>18</v>
      </c>
      <c r="P9" s="201"/>
      <c r="Q9" s="831" t="s">
        <v>518</v>
      </c>
      <c r="R9" s="832"/>
      <c r="S9" s="833"/>
      <c r="T9" s="733">
        <v>178</v>
      </c>
      <c r="U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row>
    <row r="10" spans="1:46" ht="15.75">
      <c r="A10" s="311" t="s">
        <v>226</v>
      </c>
      <c r="B10" s="304"/>
      <c r="C10" s="304"/>
      <c r="D10" s="862">
        <f>IF(D6=" "," ",VLOOKUP($D6,'Crop Uptk'!$A$5:$E$38,3,TRUE)*D7)</f>
        <v>339.6</v>
      </c>
      <c r="E10" s="864">
        <f>IF(D6=" "," ",VLOOKUP($D6,'Crop Uptk'!$A$5:$E$38,4,TRUE)*D7)</f>
        <v>79.80000000000001</v>
      </c>
      <c r="F10" s="866">
        <f>IF(D6=" "," ",VLOOKUP($D6,'Crop Uptk'!$A$5:$E$38,5,TRUE)*D7)</f>
        <v>360</v>
      </c>
      <c r="G10" s="862">
        <f>IF(G6=" "," ",VLOOKUP($G6,'Crop Uptk'!$A$5:$E$38,3,TRUE)*G7)</f>
        <v>270</v>
      </c>
      <c r="H10" s="864">
        <f>IF(G6=" "," ",VLOOKUP($G6,'Crop Uptk'!$A$5:$E$38,4,TRUE)*G7)</f>
        <v>93</v>
      </c>
      <c r="I10" s="866">
        <f>IF(G6=" "," ",VLOOKUP($G6,'Crop Uptk'!$A$5:$E$38,5,TRUE)*G7)</f>
        <v>270</v>
      </c>
      <c r="J10" s="862">
        <f>IF(J6=" "," ",VLOOKUP($J6,'Crop Uptk'!$A$5:$E$38,3,TRUE)*J7)</f>
        <v>270</v>
      </c>
      <c r="K10" s="864">
        <f>IF(J6=" "," ",VLOOKUP($J6,'Crop Uptk'!$A$5:$E$38,4,TRUE)*J7)</f>
        <v>93</v>
      </c>
      <c r="L10" s="866">
        <f>IF(J6=" "," ",VLOOKUP($J6,'Crop Uptk'!$A$5:$E$38,5,TRUE)*J7)</f>
        <v>270</v>
      </c>
      <c r="M10" s="862">
        <f>IF(M6=" "," ",VLOOKUP($M6,'Crop Uptk'!$A$5:$E$38,3,TRUE)*M7)</f>
        <v>204</v>
      </c>
      <c r="N10" s="864">
        <f>IF(M6=" "," ",VLOOKUP($M6,'Crop Uptk'!$A$5:$E$38,4,TRUE)*M7)</f>
        <v>84</v>
      </c>
      <c r="O10" s="866">
        <f>IF(M6=" "," ",VLOOKUP($M6,'Crop Uptk'!$A$5:$E$38,5,TRUE)*M7)</f>
        <v>240</v>
      </c>
      <c r="P10" s="201"/>
      <c r="U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row>
    <row r="11" spans="1:46" ht="15.75">
      <c r="A11" s="312" t="s">
        <v>227</v>
      </c>
      <c r="B11" s="305"/>
      <c r="C11" s="305"/>
      <c r="D11" s="863"/>
      <c r="E11" s="865"/>
      <c r="F11" s="867"/>
      <c r="G11" s="863"/>
      <c r="H11" s="865"/>
      <c r="I11" s="867"/>
      <c r="J11" s="863"/>
      <c r="K11" s="865"/>
      <c r="L11" s="867"/>
      <c r="M11" s="863"/>
      <c r="N11" s="865"/>
      <c r="O11" s="867"/>
      <c r="P11" s="201"/>
      <c r="Q11" s="841" t="s">
        <v>489</v>
      </c>
      <c r="R11" s="842"/>
      <c r="S11" s="842"/>
      <c r="T11" s="843"/>
      <c r="U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row>
    <row r="12" spans="1:46" ht="15.75">
      <c r="A12" s="839" t="s">
        <v>484</v>
      </c>
      <c r="B12" s="832"/>
      <c r="C12" s="840"/>
      <c r="D12" s="690" t="s">
        <v>4</v>
      </c>
      <c r="E12" s="691"/>
      <c r="F12" s="692"/>
      <c r="G12" s="702" t="s">
        <v>4</v>
      </c>
      <c r="H12" s="693">
        <f>E22</f>
        <v>0.19999999999998863</v>
      </c>
      <c r="I12" s="687" t="str">
        <f>F22</f>
        <v>0</v>
      </c>
      <c r="J12" s="702" t="s">
        <v>4</v>
      </c>
      <c r="K12" s="693" t="str">
        <f>H22</f>
        <v>0</v>
      </c>
      <c r="L12" s="694" t="str">
        <f>I22</f>
        <v>0</v>
      </c>
      <c r="M12" s="702" t="s">
        <v>4</v>
      </c>
      <c r="N12" s="693">
        <f>K22</f>
        <v>102</v>
      </c>
      <c r="O12" s="694">
        <f>L22</f>
        <v>200</v>
      </c>
      <c r="P12" s="201"/>
      <c r="Q12" s="841" t="s">
        <v>487</v>
      </c>
      <c r="R12" s="843"/>
      <c r="S12" s="698">
        <v>45</v>
      </c>
      <c r="T12" s="699"/>
      <c r="U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row>
    <row r="13" spans="1:46" ht="15.75">
      <c r="A13" s="839" t="s">
        <v>228</v>
      </c>
      <c r="B13" s="832"/>
      <c r="C13" s="840"/>
      <c r="D13" s="362">
        <v>18</v>
      </c>
      <c r="E13" s="683"/>
      <c r="F13" s="684"/>
      <c r="G13" s="362">
        <v>18</v>
      </c>
      <c r="H13" s="683"/>
      <c r="I13" s="684"/>
      <c r="J13" s="362">
        <v>18</v>
      </c>
      <c r="K13" s="683"/>
      <c r="L13" s="684"/>
      <c r="M13" s="364">
        <v>18</v>
      </c>
      <c r="N13" s="683"/>
      <c r="O13" s="684"/>
      <c r="P13" s="201"/>
      <c r="Q13" s="700"/>
      <c r="R13" s="841" t="s">
        <v>486</v>
      </c>
      <c r="S13" s="842"/>
      <c r="T13" s="843"/>
      <c r="U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row>
    <row r="14" spans="1:46" ht="15.75">
      <c r="A14" s="839" t="s">
        <v>229</v>
      </c>
      <c r="B14" s="832"/>
      <c r="C14" s="840"/>
      <c r="D14" s="362"/>
      <c r="E14" s="683"/>
      <c r="F14" s="684"/>
      <c r="G14" s="362">
        <v>150</v>
      </c>
      <c r="H14" s="683"/>
      <c r="I14" s="684"/>
      <c r="J14" s="362">
        <v>30</v>
      </c>
      <c r="K14" s="683"/>
      <c r="L14" s="684"/>
      <c r="M14" s="364"/>
      <c r="N14" s="683"/>
      <c r="O14" s="684"/>
      <c r="P14" s="201"/>
      <c r="Q14" s="701"/>
      <c r="R14" s="71" t="s">
        <v>16</v>
      </c>
      <c r="S14" s="71" t="s">
        <v>17</v>
      </c>
      <c r="T14" s="72" t="s">
        <v>18</v>
      </c>
      <c r="U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row>
    <row r="15" spans="1:46" ht="15.75">
      <c r="A15" s="839" t="s">
        <v>230</v>
      </c>
      <c r="B15" s="832"/>
      <c r="C15" s="840"/>
      <c r="D15" s="362"/>
      <c r="E15" s="683"/>
      <c r="F15" s="684"/>
      <c r="G15" s="362"/>
      <c r="H15" s="683"/>
      <c r="I15" s="684"/>
      <c r="J15" s="362"/>
      <c r="K15" s="683"/>
      <c r="L15" s="684"/>
      <c r="M15" s="364">
        <v>40</v>
      </c>
      <c r="N15" s="683"/>
      <c r="O15" s="684"/>
      <c r="P15" s="201"/>
      <c r="Q15" s="193" t="s">
        <v>485</v>
      </c>
      <c r="R15" s="696">
        <f>'Man. Bal.'!I51</f>
        <v>5.055357903711893</v>
      </c>
      <c r="S15" s="696">
        <f>'Man. Bal.'!J51</f>
        <v>4.438400533900515</v>
      </c>
      <c r="T15" s="696">
        <f>'Man. Bal.'!K51</f>
        <v>9.556120670985772</v>
      </c>
      <c r="U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row>
    <row r="16" spans="1:46" ht="15.75">
      <c r="A16" s="839" t="s">
        <v>231</v>
      </c>
      <c r="B16" s="832"/>
      <c r="C16" s="840"/>
      <c r="D16" s="362">
        <v>20</v>
      </c>
      <c r="E16" s="218">
        <v>80</v>
      </c>
      <c r="F16" s="363"/>
      <c r="G16" s="362"/>
      <c r="H16" s="218"/>
      <c r="I16" s="363"/>
      <c r="J16" s="362"/>
      <c r="K16" s="218"/>
      <c r="L16" s="365"/>
      <c r="M16" s="364"/>
      <c r="N16" s="218"/>
      <c r="O16" s="363"/>
      <c r="P16" s="201" t="s">
        <v>4</v>
      </c>
      <c r="Q16" s="193" t="s">
        <v>488</v>
      </c>
      <c r="R16" s="697">
        <f>$S$12*R15</f>
        <v>227.49110566703519</v>
      </c>
      <c r="S16" s="697">
        <f>$S$12*S15</f>
        <v>199.72802402552315</v>
      </c>
      <c r="T16" s="697">
        <f>$S$12*T15</f>
        <v>430.0254301943597</v>
      </c>
      <c r="U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row>
    <row r="17" spans="1:46" ht="15.75">
      <c r="A17" s="839" t="s">
        <v>516</v>
      </c>
      <c r="B17" s="832"/>
      <c r="C17" s="840"/>
      <c r="D17" s="362"/>
      <c r="E17" s="218"/>
      <c r="F17" s="363"/>
      <c r="G17" s="362">
        <v>101</v>
      </c>
      <c r="H17" s="218">
        <v>89</v>
      </c>
      <c r="I17" s="363">
        <v>191</v>
      </c>
      <c r="J17" s="362">
        <v>222</v>
      </c>
      <c r="K17" s="218">
        <v>195</v>
      </c>
      <c r="L17" s="363">
        <v>420</v>
      </c>
      <c r="M17" s="364">
        <v>227</v>
      </c>
      <c r="N17" s="218">
        <v>200</v>
      </c>
      <c r="O17" s="363">
        <v>430</v>
      </c>
      <c r="P17" s="201"/>
      <c r="Q17" s="201"/>
      <c r="R17" s="201"/>
      <c r="S17" s="201"/>
      <c r="T17" s="201"/>
      <c r="U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row>
    <row r="18" spans="1:46" ht="15.75">
      <c r="A18" s="839" t="s">
        <v>233</v>
      </c>
      <c r="B18" s="832"/>
      <c r="C18" s="840"/>
      <c r="D18" s="362"/>
      <c r="E18" s="218"/>
      <c r="F18" s="363">
        <v>70</v>
      </c>
      <c r="G18" s="362"/>
      <c r="H18" s="218"/>
      <c r="I18" s="363">
        <v>50</v>
      </c>
      <c r="J18" s="362"/>
      <c r="K18" s="218"/>
      <c r="L18" s="363">
        <v>50</v>
      </c>
      <c r="M18" s="364"/>
      <c r="N18" s="218"/>
      <c r="O18" s="363"/>
      <c r="P18" s="201"/>
      <c r="Q18" s="201"/>
      <c r="R18" s="201"/>
      <c r="S18" s="201"/>
      <c r="T18" s="201"/>
      <c r="U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row>
    <row r="19" spans="1:46" ht="15.75">
      <c r="A19" s="839" t="s">
        <v>234</v>
      </c>
      <c r="B19" s="832"/>
      <c r="C19" s="840"/>
      <c r="D19" s="362">
        <v>302</v>
      </c>
      <c r="E19" s="703"/>
      <c r="F19" s="684"/>
      <c r="G19" s="362"/>
      <c r="H19" s="683"/>
      <c r="I19" s="684"/>
      <c r="J19" s="362"/>
      <c r="K19" s="683"/>
      <c r="L19" s="684"/>
      <c r="M19" s="364"/>
      <c r="N19" s="683"/>
      <c r="O19" s="684"/>
      <c r="P19" s="201"/>
      <c r="Q19" s="869" t="s">
        <v>490</v>
      </c>
      <c r="R19" s="869"/>
      <c r="S19" s="869"/>
      <c r="T19" s="869"/>
      <c r="U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row>
    <row r="20" spans="1:46" ht="16.5" thickBot="1">
      <c r="A20" s="313" t="s">
        <v>235</v>
      </c>
      <c r="B20" s="314"/>
      <c r="C20" s="314"/>
      <c r="D20" s="349">
        <f>IF($D6=" "," ",IF(D13+D14-D15+D16+D17+D18+D19=0,0,D13+D14-D15+D16+D17+D18+D19))</f>
        <v>340</v>
      </c>
      <c r="E20" s="348">
        <f>IF($D6=" "," ",IF(E13+E14-E15+E16+E17+E18+E19=0,0,E13+E14-E15+E16+E17+E18+E19))</f>
        <v>80</v>
      </c>
      <c r="F20" s="347">
        <f>IF($D6=" "," ",IF(F13+F14-F15+F16+F17+F18+F19=0,0,F13+F14-F15+F16+F17+F18+F19))</f>
        <v>70</v>
      </c>
      <c r="G20" s="349">
        <f>IF($G6=" "," ",IF(G13+G14-G15+G16+G17+G18+G19=0,0,G13+G14-G15+G16+G17+G18+G19))</f>
        <v>269</v>
      </c>
      <c r="H20" s="348">
        <f>IF($G6=" "," ",IF(H12+H13+H14-H15+H16+H17+H18+H19="0"," ",H12+H13+H14-H15+H16+H17+H18+H19))</f>
        <v>89.19999999999999</v>
      </c>
      <c r="I20" s="377">
        <f>IF($G6=" "," ",IF(I12+I13+I14-I15+I16+I17+I18+I19=0,0,I12+I13+I14-I15+I16+I17+I18+I19))</f>
        <v>241</v>
      </c>
      <c r="J20" s="349">
        <f>IF($J6=" "," ",IF(J13+J14-J15+J16+J17+J18+J19=0,0,J13+J14-J15+J16+J17+J18+J19))</f>
        <v>270</v>
      </c>
      <c r="K20" s="348">
        <f>IF($J6=" "," ",IF(K12+K13+K14-K15+K16+K17+K18+K19=0,0,K12+K13+K14-K15+K16+K17+K18+K19))</f>
        <v>195</v>
      </c>
      <c r="L20" s="377">
        <f>IF($J6=" "," ",IF(L12+L13+L14-L15+L16+L17+L18+L19=0,0,L12+L13+L14-L15+L16+L17+L18+L19))</f>
        <v>470</v>
      </c>
      <c r="M20" s="349">
        <f>IF($M6=" "," ",IF(M13+M14-M15+M16+M17+M18+M19=0,0,M13+M14-M15+M16+M17+M18+M19))</f>
        <v>205</v>
      </c>
      <c r="N20" s="348">
        <f>IF($M6=" "," ",IF(N12+N13+N14-N15+N16+N17+N18+N19=0,0,N12+N13+N14-N15+N16+N17+N18+N19))</f>
        <v>302</v>
      </c>
      <c r="O20" s="378">
        <f>IF($M6=" "," ",IF(O12+O13+O14-O15+O16+O17+O18+O19=0,0,O12+O13+O14-O15+O16+O17+O18+O19))</f>
        <v>630</v>
      </c>
      <c r="P20" s="201"/>
      <c r="Q20" s="201"/>
      <c r="R20" s="426" t="s">
        <v>17</v>
      </c>
      <c r="S20" s="430" t="s">
        <v>18</v>
      </c>
      <c r="U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row>
    <row r="21" spans="1:46" ht="16.5" thickBot="1">
      <c r="A21" s="296"/>
      <c r="B21" s="296"/>
      <c r="C21" s="296"/>
      <c r="D21" s="307"/>
      <c r="E21" s="307"/>
      <c r="F21" s="307"/>
      <c r="G21" s="307"/>
      <c r="H21" s="307"/>
      <c r="I21" s="307"/>
      <c r="J21" s="307"/>
      <c r="K21" s="307"/>
      <c r="L21" s="307"/>
      <c r="M21" s="307"/>
      <c r="N21" s="307"/>
      <c r="O21" s="307"/>
      <c r="P21" s="201"/>
      <c r="Q21" s="201"/>
      <c r="R21" s="696">
        <f>N22/(E10)</f>
        <v>2.731829573934837</v>
      </c>
      <c r="S21" s="696">
        <f>O22/(F10)</f>
        <v>1.0833333333333333</v>
      </c>
      <c r="U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row>
    <row r="22" spans="1:46" ht="15.75">
      <c r="A22" s="835" t="s">
        <v>236</v>
      </c>
      <c r="B22" s="836"/>
      <c r="C22" s="708" t="s">
        <v>237</v>
      </c>
      <c r="D22" s="337">
        <f>IF(D6=" "," ",IF(D10-D20&gt;=0,"0",ABS(D10-D20)))</f>
        <v>0.39999999999997726</v>
      </c>
      <c r="E22" s="338">
        <f>IF(D6=" "," ",IF(E10-E20&gt;=0,"0",ABS(E10-E20)))</f>
        <v>0.19999999999998863</v>
      </c>
      <c r="F22" s="339" t="str">
        <f>IF(D6=" "," ",IF(F10-F20&gt;=0,"0",ABS(F10-F20)))</f>
        <v>0</v>
      </c>
      <c r="G22" s="337" t="str">
        <f>IF(G6=" "," ",IF(G10-G20&gt;=0,"0",ABS(G10-G20)))</f>
        <v>0</v>
      </c>
      <c r="H22" s="338" t="str">
        <f>IF(G6=" "," ",IF(H10-H20&gt;=0,"0",ABS(H10-H20)))</f>
        <v>0</v>
      </c>
      <c r="I22" s="340" t="str">
        <f>IF(G6=" "," ",IF(I10-I20&gt;=0,"0",ABS(I10-I20)))</f>
        <v>0</v>
      </c>
      <c r="J22" s="337" t="str">
        <f>IF(J6=" "," ",IF(J10-J20&gt;=0,"0",ABS(J10-J20)))</f>
        <v>0</v>
      </c>
      <c r="K22" s="338">
        <f>IF(J6=" "," ",IF(K10-K20&gt;=0,"0",ABS(K10-K20)))</f>
        <v>102</v>
      </c>
      <c r="L22" s="340">
        <f>IF(J6=" "," ",IF(L10-L20&gt;=0,"0",ABS(L10-L20)))</f>
        <v>200</v>
      </c>
      <c r="M22" s="341">
        <f>IF(M6=" "," ",IF(M10-M20&gt;=0,"0",ABS(M10-M20)))</f>
        <v>1</v>
      </c>
      <c r="N22" s="338">
        <f>IF(M6=" "," ",IF(N10-N20&gt;=0,"0",ABS(N10-N20)))</f>
        <v>218</v>
      </c>
      <c r="O22" s="340">
        <f>IF(M6=" "," ",IF(O10-O20&gt;=0,"0",ABS(O10-O20)))</f>
        <v>390</v>
      </c>
      <c r="P22" s="201"/>
      <c r="Q22" s="201"/>
      <c r="R22" s="201"/>
      <c r="S22" s="201"/>
      <c r="T22" s="201"/>
      <c r="U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row>
    <row r="23" spans="1:46" ht="16.5" thickBot="1">
      <c r="A23" s="837"/>
      <c r="B23" s="838"/>
      <c r="C23" s="707" t="s">
        <v>238</v>
      </c>
      <c r="D23" s="342" t="str">
        <f>IF(D6=" "," ",IF(D10-D20&lt;=0," ",ABS(D10-D20)))</f>
        <v> </v>
      </c>
      <c r="E23" s="343" t="str">
        <f>IF(D6=" "," ",IF(E10-E20&lt;=0," ",ABS(E10-E20)))</f>
        <v> </v>
      </c>
      <c r="F23" s="344">
        <f>IF(D6=" "," ",IF(F10-F20&lt;=0," ",ABS(F10-F20)))</f>
        <v>290</v>
      </c>
      <c r="G23" s="342">
        <f>IF(G6=" "," ",IF(G10-G20&lt;=0," ",ABS(G10-G20)))</f>
        <v>1</v>
      </c>
      <c r="H23" s="343">
        <f>IF(G6=" "," ",IF(H10-H20&lt;=0," ",ABS(H10-H20)))</f>
        <v>3.8000000000000114</v>
      </c>
      <c r="I23" s="345">
        <f>IF(G6=" "," ",IF(I10-I20&lt;=0," ",ABS(I10-I20)))</f>
        <v>29</v>
      </c>
      <c r="J23" s="342" t="str">
        <f>IF(J6=" "," ",IF(J10-J20&lt;=0," ",ABS(J10-J20)))</f>
        <v> </v>
      </c>
      <c r="K23" s="343" t="str">
        <f>IF(J6=" "," ",IF(K10-K20&lt;=0," ",ABS(K10-K20)))</f>
        <v> </v>
      </c>
      <c r="L23" s="345" t="str">
        <f>IF(J6=" "," ",IF(L10-L20&lt;=0," ",ABS(L10-L20)))</f>
        <v> </v>
      </c>
      <c r="M23" s="346" t="str">
        <f>IF(M6=" "," ",IF(M10-M20&lt;=0," ",ABS(M10-M20)))</f>
        <v> </v>
      </c>
      <c r="N23" s="343" t="str">
        <f>IF(M6=" "," ",IF(N10-N20&lt;=0," ",ABS(N10-N20)))</f>
        <v> </v>
      </c>
      <c r="O23" s="345" t="str">
        <f>IF(M6=" "," ",IF(O10-O20&lt;=0," ",ABS(O10-O20)))</f>
        <v> </v>
      </c>
      <c r="P23" s="201"/>
      <c r="Q23" s="201"/>
      <c r="R23" s="201"/>
      <c r="S23" s="201"/>
      <c r="T23" s="201"/>
      <c r="U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row>
    <row r="24" spans="1:46" ht="16.5" thickBot="1">
      <c r="A24" s="296"/>
      <c r="B24" s="296"/>
      <c r="C24" s="296"/>
      <c r="D24" s="296"/>
      <c r="E24" s="296"/>
      <c r="F24" s="296"/>
      <c r="G24" s="296"/>
      <c r="H24" s="296"/>
      <c r="I24" s="296"/>
      <c r="J24" s="296"/>
      <c r="K24" s="296"/>
      <c r="L24" s="296"/>
      <c r="M24" s="296"/>
      <c r="N24" s="296"/>
      <c r="O24" s="296"/>
      <c r="P24" s="201"/>
      <c r="Q24" s="201"/>
      <c r="R24" s="201"/>
      <c r="S24" s="201"/>
      <c r="T24" s="201"/>
      <c r="U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row>
    <row r="25" spans="1:46" ht="15.75">
      <c r="A25" s="849" t="s">
        <v>311</v>
      </c>
      <c r="B25" s="850"/>
      <c r="C25" s="850"/>
      <c r="D25" s="850"/>
      <c r="E25" s="851"/>
      <c r="F25" s="851"/>
      <c r="G25" s="851"/>
      <c r="H25" s="851"/>
      <c r="I25" s="851"/>
      <c r="J25" s="851"/>
      <c r="K25" s="851"/>
      <c r="L25" s="851"/>
      <c r="M25" s="851"/>
      <c r="N25" s="851"/>
      <c r="O25" s="852"/>
      <c r="P25" s="201"/>
      <c r="Q25" s="201"/>
      <c r="R25" s="201"/>
      <c r="S25" s="201"/>
      <c r="T25" s="201"/>
      <c r="U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row>
    <row r="26" spans="1:46" ht="3.75" customHeight="1">
      <c r="A26" s="858"/>
      <c r="B26" s="859"/>
      <c r="C26" s="859"/>
      <c r="D26" s="859"/>
      <c r="E26" s="859"/>
      <c r="F26" s="859"/>
      <c r="G26" s="859"/>
      <c r="H26" s="859"/>
      <c r="I26" s="859"/>
      <c r="J26" s="859"/>
      <c r="K26" s="859"/>
      <c r="L26" s="859"/>
      <c r="M26" s="859"/>
      <c r="N26" s="859"/>
      <c r="O26" s="860"/>
      <c r="P26" s="201"/>
      <c r="Q26" s="201"/>
      <c r="R26" s="201"/>
      <c r="S26" s="201"/>
      <c r="T26" s="201"/>
      <c r="U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row>
    <row r="27" spans="1:46" ht="15.75" customHeight="1">
      <c r="A27" s="825" t="s">
        <v>515</v>
      </c>
      <c r="B27" s="826"/>
      <c r="C27" s="826"/>
      <c r="D27" s="826"/>
      <c r="E27" s="826"/>
      <c r="F27" s="826"/>
      <c r="G27" s="826"/>
      <c r="H27" s="826"/>
      <c r="I27" s="826"/>
      <c r="J27" s="826"/>
      <c r="K27" s="826"/>
      <c r="L27" s="826"/>
      <c r="M27" s="826"/>
      <c r="N27" s="826"/>
      <c r="O27" s="827"/>
      <c r="P27" s="201"/>
      <c r="Q27" s="201"/>
      <c r="R27" s="201"/>
      <c r="S27" s="201"/>
      <c r="T27" s="201"/>
      <c r="U27" s="201"/>
      <c r="X27" s="201"/>
      <c r="Y27" s="201"/>
      <c r="Z27" s="201"/>
      <c r="AA27" s="695" t="s">
        <v>4</v>
      </c>
      <c r="AB27" s="623"/>
      <c r="AC27" s="201"/>
      <c r="AD27" s="201"/>
      <c r="AE27" s="201"/>
      <c r="AF27" s="201"/>
      <c r="AG27" s="201"/>
      <c r="AH27" s="201"/>
      <c r="AI27" s="201"/>
      <c r="AJ27" s="201"/>
      <c r="AK27" s="201"/>
      <c r="AL27" s="201"/>
      <c r="AM27" s="201"/>
      <c r="AN27" s="201"/>
      <c r="AO27" s="201"/>
      <c r="AP27" s="201"/>
      <c r="AQ27" s="201"/>
      <c r="AR27" s="201"/>
      <c r="AS27" s="201"/>
      <c r="AT27" s="201"/>
    </row>
    <row r="28" spans="1:46" ht="15.75">
      <c r="A28" s="825"/>
      <c r="B28" s="826"/>
      <c r="C28" s="826"/>
      <c r="D28" s="826"/>
      <c r="E28" s="826"/>
      <c r="F28" s="826"/>
      <c r="G28" s="826"/>
      <c r="H28" s="826"/>
      <c r="I28" s="826"/>
      <c r="J28" s="826"/>
      <c r="K28" s="826"/>
      <c r="L28" s="826"/>
      <c r="M28" s="826"/>
      <c r="N28" s="826"/>
      <c r="O28" s="827"/>
      <c r="P28" s="201"/>
      <c r="Q28" s="201"/>
      <c r="R28" s="201"/>
      <c r="S28" s="201"/>
      <c r="T28" s="201"/>
      <c r="U28" s="201"/>
      <c r="X28" s="201"/>
      <c r="Y28" s="201"/>
      <c r="Z28" s="201"/>
      <c r="AA28" s="728" t="s">
        <v>64</v>
      </c>
      <c r="AB28" s="623"/>
      <c r="AC28" s="201"/>
      <c r="AD28" s="201"/>
      <c r="AE28" s="201"/>
      <c r="AF28" s="201"/>
      <c r="AG28" s="201"/>
      <c r="AH28" s="201"/>
      <c r="AI28" s="201"/>
      <c r="AJ28" s="201"/>
      <c r="AK28" s="201"/>
      <c r="AL28" s="201"/>
      <c r="AM28" s="201"/>
      <c r="AN28" s="201"/>
      <c r="AO28" s="201"/>
      <c r="AP28" s="201"/>
      <c r="AQ28" s="201"/>
      <c r="AR28" s="201"/>
      <c r="AS28" s="201"/>
      <c r="AT28" s="201"/>
    </row>
    <row r="29" spans="1:46" ht="15.75">
      <c r="A29" s="825"/>
      <c r="B29" s="826"/>
      <c r="C29" s="826"/>
      <c r="D29" s="826"/>
      <c r="E29" s="826"/>
      <c r="F29" s="826"/>
      <c r="G29" s="826"/>
      <c r="H29" s="826"/>
      <c r="I29" s="826"/>
      <c r="J29" s="826"/>
      <c r="K29" s="826"/>
      <c r="L29" s="826"/>
      <c r="M29" s="826"/>
      <c r="N29" s="826"/>
      <c r="O29" s="827"/>
      <c r="P29" s="201"/>
      <c r="Q29" s="201"/>
      <c r="R29" s="201"/>
      <c r="S29" s="201"/>
      <c r="T29" s="201"/>
      <c r="U29" s="201"/>
      <c r="X29" s="201"/>
      <c r="Y29" s="201"/>
      <c r="Z29" s="201"/>
      <c r="AA29" s="728" t="s">
        <v>208</v>
      </c>
      <c r="AB29" s="623"/>
      <c r="AC29" s="201"/>
      <c r="AD29" s="201"/>
      <c r="AE29" s="201"/>
      <c r="AF29" s="201"/>
      <c r="AG29" s="201"/>
      <c r="AH29" s="201"/>
      <c r="AI29" s="201"/>
      <c r="AJ29" s="201"/>
      <c r="AK29" s="201"/>
      <c r="AL29" s="201"/>
      <c r="AM29" s="201"/>
      <c r="AN29" s="201"/>
      <c r="AO29" s="201"/>
      <c r="AP29" s="201"/>
      <c r="AQ29" s="201"/>
      <c r="AR29" s="201"/>
      <c r="AS29" s="201"/>
      <c r="AT29" s="201"/>
    </row>
    <row r="30" spans="1:46" ht="15.75">
      <c r="A30" s="825"/>
      <c r="B30" s="826"/>
      <c r="C30" s="826"/>
      <c r="D30" s="826"/>
      <c r="E30" s="826"/>
      <c r="F30" s="826"/>
      <c r="G30" s="826"/>
      <c r="H30" s="826"/>
      <c r="I30" s="826"/>
      <c r="J30" s="826"/>
      <c r="K30" s="826"/>
      <c r="L30" s="826"/>
      <c r="M30" s="826"/>
      <c r="N30" s="826"/>
      <c r="O30" s="827"/>
      <c r="P30" s="201"/>
      <c r="Q30" s="201"/>
      <c r="R30" s="201"/>
      <c r="S30" s="201"/>
      <c r="T30" s="201"/>
      <c r="U30" s="201"/>
      <c r="X30" s="201"/>
      <c r="Y30" s="201"/>
      <c r="Z30" s="201"/>
      <c r="AA30" s="728" t="s">
        <v>310</v>
      </c>
      <c r="AB30" s="623"/>
      <c r="AC30" s="201"/>
      <c r="AD30" s="201"/>
      <c r="AE30" s="201"/>
      <c r="AF30" s="201"/>
      <c r="AG30" s="201"/>
      <c r="AH30" s="201"/>
      <c r="AI30" s="201"/>
      <c r="AJ30" s="201"/>
      <c r="AK30" s="201"/>
      <c r="AL30" s="201"/>
      <c r="AM30" s="201"/>
      <c r="AN30" s="201"/>
      <c r="AO30" s="201"/>
      <c r="AP30" s="201"/>
      <c r="AQ30" s="201"/>
      <c r="AR30" s="201"/>
      <c r="AS30" s="201"/>
      <c r="AT30" s="201"/>
    </row>
    <row r="31" spans="1:46" ht="15.75">
      <c r="A31" s="825"/>
      <c r="B31" s="826"/>
      <c r="C31" s="826"/>
      <c r="D31" s="826"/>
      <c r="E31" s="826"/>
      <c r="F31" s="826"/>
      <c r="G31" s="826"/>
      <c r="H31" s="826"/>
      <c r="I31" s="826"/>
      <c r="J31" s="826"/>
      <c r="K31" s="826"/>
      <c r="L31" s="826"/>
      <c r="M31" s="826"/>
      <c r="N31" s="826"/>
      <c r="O31" s="827"/>
      <c r="P31" s="201"/>
      <c r="Q31" s="201"/>
      <c r="R31" s="201"/>
      <c r="S31" s="201"/>
      <c r="T31" s="201"/>
      <c r="U31" s="201"/>
      <c r="X31" s="201"/>
      <c r="Y31" s="201"/>
      <c r="Z31" s="201"/>
      <c r="AA31" s="728" t="s">
        <v>209</v>
      </c>
      <c r="AB31" s="623"/>
      <c r="AC31" s="201"/>
      <c r="AD31" s="201"/>
      <c r="AE31" s="201"/>
      <c r="AF31" s="201"/>
      <c r="AG31" s="201"/>
      <c r="AH31" s="201"/>
      <c r="AI31" s="201"/>
      <c r="AJ31" s="201"/>
      <c r="AK31" s="201"/>
      <c r="AL31" s="201"/>
      <c r="AM31" s="201"/>
      <c r="AN31" s="201"/>
      <c r="AO31" s="201"/>
      <c r="AP31" s="201"/>
      <c r="AQ31" s="201"/>
      <c r="AR31" s="201"/>
      <c r="AS31" s="201"/>
      <c r="AT31" s="201"/>
    </row>
    <row r="32" spans="1:46" ht="15.75">
      <c r="A32" s="825"/>
      <c r="B32" s="826"/>
      <c r="C32" s="826"/>
      <c r="D32" s="826"/>
      <c r="E32" s="826"/>
      <c r="F32" s="826"/>
      <c r="G32" s="826"/>
      <c r="H32" s="826"/>
      <c r="I32" s="826"/>
      <c r="J32" s="826"/>
      <c r="K32" s="826"/>
      <c r="L32" s="826"/>
      <c r="M32" s="826"/>
      <c r="N32" s="826"/>
      <c r="O32" s="827"/>
      <c r="P32" s="201"/>
      <c r="Q32" s="201"/>
      <c r="R32" s="201"/>
      <c r="S32" s="201"/>
      <c r="T32" s="201"/>
      <c r="U32" s="201"/>
      <c r="X32" s="201"/>
      <c r="Y32" s="201"/>
      <c r="Z32" s="201"/>
      <c r="AA32" s="728" t="s">
        <v>496</v>
      </c>
      <c r="AB32" s="623"/>
      <c r="AC32" s="201"/>
      <c r="AD32" s="201"/>
      <c r="AE32" s="201"/>
      <c r="AF32" s="201"/>
      <c r="AG32" s="201"/>
      <c r="AH32" s="201"/>
      <c r="AI32" s="201"/>
      <c r="AJ32" s="201"/>
      <c r="AK32" s="201"/>
      <c r="AL32" s="201"/>
      <c r="AM32" s="201"/>
      <c r="AN32" s="201"/>
      <c r="AO32" s="201"/>
      <c r="AP32" s="201"/>
      <c r="AQ32" s="201"/>
      <c r="AR32" s="201"/>
      <c r="AS32" s="201"/>
      <c r="AT32" s="201"/>
    </row>
    <row r="33" spans="1:46" ht="15.75">
      <c r="A33" s="825"/>
      <c r="B33" s="826"/>
      <c r="C33" s="826"/>
      <c r="D33" s="826"/>
      <c r="E33" s="826"/>
      <c r="F33" s="826"/>
      <c r="G33" s="826"/>
      <c r="H33" s="826"/>
      <c r="I33" s="826"/>
      <c r="J33" s="826"/>
      <c r="K33" s="826"/>
      <c r="L33" s="826"/>
      <c r="M33" s="826"/>
      <c r="N33" s="826"/>
      <c r="O33" s="827"/>
      <c r="P33" s="201"/>
      <c r="Q33" s="201"/>
      <c r="R33" s="201"/>
      <c r="S33" s="201"/>
      <c r="T33" s="201"/>
      <c r="U33" s="201"/>
      <c r="X33" s="201"/>
      <c r="Y33" s="201"/>
      <c r="Z33" s="201"/>
      <c r="AA33" s="729" t="s">
        <v>307</v>
      </c>
      <c r="AB33" s="623"/>
      <c r="AC33" s="201"/>
      <c r="AD33" s="201"/>
      <c r="AE33" s="201"/>
      <c r="AF33" s="201"/>
      <c r="AG33" s="201"/>
      <c r="AH33" s="201"/>
      <c r="AI33" s="201"/>
      <c r="AJ33" s="201"/>
      <c r="AK33" s="201"/>
      <c r="AL33" s="201"/>
      <c r="AM33" s="201"/>
      <c r="AN33" s="201"/>
      <c r="AO33" s="201"/>
      <c r="AP33" s="201"/>
      <c r="AQ33" s="201"/>
      <c r="AR33" s="201"/>
      <c r="AS33" s="201"/>
      <c r="AT33" s="201"/>
    </row>
    <row r="34" spans="1:46" ht="15.75">
      <c r="A34" s="825"/>
      <c r="B34" s="826"/>
      <c r="C34" s="826"/>
      <c r="D34" s="826"/>
      <c r="E34" s="826"/>
      <c r="F34" s="826"/>
      <c r="G34" s="826"/>
      <c r="H34" s="826"/>
      <c r="I34" s="826"/>
      <c r="J34" s="826"/>
      <c r="K34" s="826"/>
      <c r="L34" s="826"/>
      <c r="M34" s="826"/>
      <c r="N34" s="826"/>
      <c r="O34" s="827"/>
      <c r="P34" s="201"/>
      <c r="Q34" s="201"/>
      <c r="R34" s="201"/>
      <c r="S34" s="201"/>
      <c r="T34" s="201"/>
      <c r="U34" s="201"/>
      <c r="X34" s="201"/>
      <c r="Y34" s="201"/>
      <c r="Z34" s="201"/>
      <c r="AA34" s="728" t="s">
        <v>497</v>
      </c>
      <c r="AB34" s="623"/>
      <c r="AC34" s="201"/>
      <c r="AD34" s="201"/>
      <c r="AE34" s="201"/>
      <c r="AF34" s="201"/>
      <c r="AG34" s="201"/>
      <c r="AH34" s="201"/>
      <c r="AI34" s="201"/>
      <c r="AJ34" s="201"/>
      <c r="AK34" s="201"/>
      <c r="AL34" s="201"/>
      <c r="AM34" s="201"/>
      <c r="AN34" s="201"/>
      <c r="AO34" s="201"/>
      <c r="AP34" s="201"/>
      <c r="AQ34" s="201"/>
      <c r="AR34" s="201"/>
      <c r="AS34" s="201"/>
      <c r="AT34" s="201"/>
    </row>
    <row r="35" spans="1:46" ht="15.75">
      <c r="A35" s="825"/>
      <c r="B35" s="826"/>
      <c r="C35" s="826"/>
      <c r="D35" s="826"/>
      <c r="E35" s="826"/>
      <c r="F35" s="826"/>
      <c r="G35" s="826"/>
      <c r="H35" s="826"/>
      <c r="I35" s="826"/>
      <c r="J35" s="826"/>
      <c r="K35" s="826"/>
      <c r="L35" s="826"/>
      <c r="M35" s="826"/>
      <c r="N35" s="826"/>
      <c r="O35" s="827"/>
      <c r="P35" s="201"/>
      <c r="Q35" s="201"/>
      <c r="R35" s="201"/>
      <c r="S35" s="201"/>
      <c r="T35" s="201"/>
      <c r="U35" s="201"/>
      <c r="X35" s="201"/>
      <c r="Y35" s="201"/>
      <c r="Z35" s="201"/>
      <c r="AA35" s="728" t="s">
        <v>498</v>
      </c>
      <c r="AB35" s="623"/>
      <c r="AC35" s="201"/>
      <c r="AD35" s="201"/>
      <c r="AE35" s="201"/>
      <c r="AF35" s="201"/>
      <c r="AG35" s="201"/>
      <c r="AH35" s="201"/>
      <c r="AI35" s="201"/>
      <c r="AJ35" s="201"/>
      <c r="AK35" s="201"/>
      <c r="AL35" s="201"/>
      <c r="AM35" s="201"/>
      <c r="AN35" s="201"/>
      <c r="AO35" s="201"/>
      <c r="AP35" s="201"/>
      <c r="AQ35" s="201"/>
      <c r="AR35" s="201"/>
      <c r="AS35" s="201"/>
      <c r="AT35" s="201"/>
    </row>
    <row r="36" spans="1:46" ht="15.75">
      <c r="A36" s="825"/>
      <c r="B36" s="826"/>
      <c r="C36" s="826"/>
      <c r="D36" s="826"/>
      <c r="E36" s="826"/>
      <c r="F36" s="826"/>
      <c r="G36" s="826"/>
      <c r="H36" s="826"/>
      <c r="I36" s="826"/>
      <c r="J36" s="826"/>
      <c r="K36" s="826"/>
      <c r="L36" s="826"/>
      <c r="M36" s="826"/>
      <c r="N36" s="826"/>
      <c r="O36" s="827"/>
      <c r="P36" s="201"/>
      <c r="Q36" s="201"/>
      <c r="R36" s="201"/>
      <c r="S36" s="201"/>
      <c r="T36" s="201"/>
      <c r="U36" s="201"/>
      <c r="X36" s="201"/>
      <c r="Y36" s="201"/>
      <c r="Z36" s="201"/>
      <c r="AA36" s="728" t="s">
        <v>471</v>
      </c>
      <c r="AB36" s="623"/>
      <c r="AC36" s="201"/>
      <c r="AD36" s="201"/>
      <c r="AE36" s="201"/>
      <c r="AF36" s="201"/>
      <c r="AG36" s="201"/>
      <c r="AH36" s="201"/>
      <c r="AI36" s="201"/>
      <c r="AJ36" s="201"/>
      <c r="AK36" s="201"/>
      <c r="AL36" s="201"/>
      <c r="AM36" s="201"/>
      <c r="AN36" s="201"/>
      <c r="AO36" s="201"/>
      <c r="AP36" s="201"/>
      <c r="AQ36" s="201"/>
      <c r="AR36" s="201"/>
      <c r="AS36" s="201"/>
      <c r="AT36" s="201"/>
    </row>
    <row r="37" spans="1:46" ht="15.75">
      <c r="A37" s="825"/>
      <c r="B37" s="826"/>
      <c r="C37" s="826"/>
      <c r="D37" s="826"/>
      <c r="E37" s="826"/>
      <c r="F37" s="826"/>
      <c r="G37" s="826"/>
      <c r="H37" s="826"/>
      <c r="I37" s="826"/>
      <c r="J37" s="826"/>
      <c r="K37" s="826"/>
      <c r="L37" s="826"/>
      <c r="M37" s="826"/>
      <c r="N37" s="826"/>
      <c r="O37" s="827"/>
      <c r="P37" s="201"/>
      <c r="Q37" s="201"/>
      <c r="R37" s="201"/>
      <c r="S37" s="201"/>
      <c r="T37" s="201"/>
      <c r="U37" s="201"/>
      <c r="X37" s="201"/>
      <c r="Y37" s="201"/>
      <c r="Z37" s="201"/>
      <c r="AA37" s="728" t="s">
        <v>210</v>
      </c>
      <c r="AB37" s="623"/>
      <c r="AC37" s="201"/>
      <c r="AD37" s="201"/>
      <c r="AE37" s="201"/>
      <c r="AF37" s="201"/>
      <c r="AG37" s="201"/>
      <c r="AH37" s="201"/>
      <c r="AI37" s="201"/>
      <c r="AJ37" s="201"/>
      <c r="AK37" s="201"/>
      <c r="AL37" s="201"/>
      <c r="AM37" s="201"/>
      <c r="AN37" s="201"/>
      <c r="AO37" s="201"/>
      <c r="AP37" s="201"/>
      <c r="AQ37" s="201"/>
      <c r="AR37" s="201"/>
      <c r="AS37" s="201"/>
      <c r="AT37" s="201"/>
    </row>
    <row r="38" spans="1:46" ht="15.75">
      <c r="A38" s="825"/>
      <c r="B38" s="826"/>
      <c r="C38" s="826"/>
      <c r="D38" s="826"/>
      <c r="E38" s="826"/>
      <c r="F38" s="826"/>
      <c r="G38" s="826"/>
      <c r="H38" s="826"/>
      <c r="I38" s="826"/>
      <c r="J38" s="826"/>
      <c r="K38" s="826"/>
      <c r="L38" s="826"/>
      <c r="M38" s="826"/>
      <c r="N38" s="826"/>
      <c r="O38" s="827"/>
      <c r="P38" s="201"/>
      <c r="Q38" s="201"/>
      <c r="R38" s="201"/>
      <c r="S38" s="201"/>
      <c r="T38" s="201"/>
      <c r="U38" s="201"/>
      <c r="X38" s="201"/>
      <c r="Y38" s="201"/>
      <c r="Z38" s="201"/>
      <c r="AA38" s="728" t="s">
        <v>68</v>
      </c>
      <c r="AB38" s="623"/>
      <c r="AC38" s="201"/>
      <c r="AD38" s="201"/>
      <c r="AE38" s="201"/>
      <c r="AF38" s="201"/>
      <c r="AG38" s="201"/>
      <c r="AH38" s="201"/>
      <c r="AI38" s="201"/>
      <c r="AJ38" s="201"/>
      <c r="AK38" s="201"/>
      <c r="AL38" s="201"/>
      <c r="AM38" s="201"/>
      <c r="AN38" s="201"/>
      <c r="AO38" s="201"/>
      <c r="AP38" s="201"/>
      <c r="AQ38" s="201"/>
      <c r="AR38" s="201"/>
      <c r="AS38" s="201"/>
      <c r="AT38" s="201"/>
    </row>
    <row r="39" spans="1:46" ht="15.75">
      <c r="A39" s="825"/>
      <c r="B39" s="826"/>
      <c r="C39" s="826"/>
      <c r="D39" s="826"/>
      <c r="E39" s="826"/>
      <c r="F39" s="826"/>
      <c r="G39" s="826"/>
      <c r="H39" s="826"/>
      <c r="I39" s="826"/>
      <c r="J39" s="826"/>
      <c r="K39" s="826"/>
      <c r="L39" s="826"/>
      <c r="M39" s="826"/>
      <c r="N39" s="826"/>
      <c r="O39" s="827"/>
      <c r="P39" s="201"/>
      <c r="Q39" s="201"/>
      <c r="R39" s="201"/>
      <c r="S39" s="201"/>
      <c r="T39" s="201"/>
      <c r="U39" s="201"/>
      <c r="V39" s="201"/>
      <c r="W39" s="201"/>
      <c r="X39" s="201"/>
      <c r="Y39" s="201"/>
      <c r="Z39" s="201"/>
      <c r="AA39" s="728" t="s">
        <v>499</v>
      </c>
      <c r="AB39" s="623"/>
      <c r="AC39" s="201"/>
      <c r="AD39" s="201"/>
      <c r="AE39" s="201"/>
      <c r="AF39" s="201"/>
      <c r="AG39" s="201"/>
      <c r="AH39" s="201"/>
      <c r="AI39" s="201"/>
      <c r="AJ39" s="201"/>
      <c r="AK39" s="201"/>
      <c r="AL39" s="201"/>
      <c r="AM39" s="201"/>
      <c r="AN39" s="201"/>
      <c r="AO39" s="201"/>
      <c r="AP39" s="201"/>
      <c r="AQ39" s="201"/>
      <c r="AR39" s="201"/>
      <c r="AS39" s="201"/>
      <c r="AT39" s="201"/>
    </row>
    <row r="40" spans="1:46" ht="15.75">
      <c r="A40" s="825"/>
      <c r="B40" s="826"/>
      <c r="C40" s="826"/>
      <c r="D40" s="826"/>
      <c r="E40" s="826"/>
      <c r="F40" s="826"/>
      <c r="G40" s="826"/>
      <c r="H40" s="826"/>
      <c r="I40" s="826"/>
      <c r="J40" s="826"/>
      <c r="K40" s="826"/>
      <c r="L40" s="826"/>
      <c r="M40" s="826"/>
      <c r="N40" s="826"/>
      <c r="O40" s="827"/>
      <c r="P40" s="201"/>
      <c r="Q40" s="201"/>
      <c r="R40" s="201"/>
      <c r="S40" s="201"/>
      <c r="T40" s="201"/>
      <c r="U40" s="201"/>
      <c r="V40" s="201"/>
      <c r="W40" s="201"/>
      <c r="X40" s="201"/>
      <c r="Y40" s="201"/>
      <c r="Z40" s="201"/>
      <c r="AA40" s="728" t="s">
        <v>500</v>
      </c>
      <c r="AB40" s="623"/>
      <c r="AC40" s="201"/>
      <c r="AD40" s="201"/>
      <c r="AE40" s="201"/>
      <c r="AF40" s="201"/>
      <c r="AG40" s="201"/>
      <c r="AH40" s="201"/>
      <c r="AI40" s="201"/>
      <c r="AJ40" s="201"/>
      <c r="AK40" s="201"/>
      <c r="AL40" s="201"/>
      <c r="AM40" s="201"/>
      <c r="AN40" s="201"/>
      <c r="AO40" s="201"/>
      <c r="AP40" s="201"/>
      <c r="AQ40" s="201"/>
      <c r="AR40" s="201"/>
      <c r="AS40" s="201"/>
      <c r="AT40" s="201"/>
    </row>
    <row r="41" spans="1:46" ht="16.5" thickBot="1">
      <c r="A41" s="828"/>
      <c r="B41" s="829"/>
      <c r="C41" s="829"/>
      <c r="D41" s="829"/>
      <c r="E41" s="829"/>
      <c r="F41" s="829"/>
      <c r="G41" s="829"/>
      <c r="H41" s="829"/>
      <c r="I41" s="829"/>
      <c r="J41" s="829"/>
      <c r="K41" s="829"/>
      <c r="L41" s="829"/>
      <c r="M41" s="829"/>
      <c r="N41" s="829"/>
      <c r="O41" s="830"/>
      <c r="P41" s="201"/>
      <c r="Q41" s="201"/>
      <c r="R41" s="201"/>
      <c r="S41" s="201"/>
      <c r="T41" s="201"/>
      <c r="U41" s="201"/>
      <c r="V41" s="201"/>
      <c r="W41" s="201"/>
      <c r="X41" s="201"/>
      <c r="Y41" s="201"/>
      <c r="Z41" s="201"/>
      <c r="AA41" s="728" t="s">
        <v>501</v>
      </c>
      <c r="AB41" s="623"/>
      <c r="AC41" s="201"/>
      <c r="AD41" s="201"/>
      <c r="AE41" s="201"/>
      <c r="AF41" s="201"/>
      <c r="AG41" s="201"/>
      <c r="AH41" s="201"/>
      <c r="AI41" s="201"/>
      <c r="AJ41" s="201"/>
      <c r="AK41" s="201"/>
      <c r="AL41" s="201"/>
      <c r="AM41" s="201"/>
      <c r="AN41" s="201"/>
      <c r="AO41" s="201"/>
      <c r="AP41" s="201"/>
      <c r="AQ41" s="201"/>
      <c r="AR41" s="201"/>
      <c r="AS41" s="201"/>
      <c r="AT41" s="201"/>
    </row>
    <row r="42" spans="1:46" ht="20.25">
      <c r="A42" s="408" t="s">
        <v>493</v>
      </c>
      <c r="B42" s="408"/>
      <c r="C42" s="868" t="s">
        <v>470</v>
      </c>
      <c r="D42" s="868"/>
      <c r="E42" s="868"/>
      <c r="F42" s="868"/>
      <c r="G42" s="868"/>
      <c r="H42" s="868"/>
      <c r="I42" s="868"/>
      <c r="J42" s="868"/>
      <c r="K42" s="868"/>
      <c r="L42" s="868"/>
      <c r="M42" s="868"/>
      <c r="N42" s="868"/>
      <c r="O42" s="868"/>
      <c r="P42" s="201"/>
      <c r="Q42" s="201"/>
      <c r="R42" s="201"/>
      <c r="S42" s="201"/>
      <c r="T42" s="201"/>
      <c r="U42" s="201"/>
      <c r="V42" s="201"/>
      <c r="W42" s="201"/>
      <c r="X42" s="201"/>
      <c r="Y42" s="201"/>
      <c r="Z42" s="201"/>
      <c r="AA42" s="728" t="s">
        <v>502</v>
      </c>
      <c r="AB42" s="623"/>
      <c r="AC42" s="201"/>
      <c r="AD42" s="201"/>
      <c r="AE42" s="201"/>
      <c r="AF42" s="201"/>
      <c r="AG42" s="201"/>
      <c r="AH42" s="201"/>
      <c r="AI42" s="201"/>
      <c r="AJ42" s="201"/>
      <c r="AK42" s="201"/>
      <c r="AL42" s="201"/>
      <c r="AM42" s="201"/>
      <c r="AN42" s="201"/>
      <c r="AO42" s="201"/>
      <c r="AP42" s="201"/>
      <c r="AQ42" s="201"/>
      <c r="AR42" s="201"/>
      <c r="AS42" s="201"/>
      <c r="AT42" s="201"/>
    </row>
    <row r="43" spans="1:46" ht="15.75">
      <c r="A43" s="296"/>
      <c r="B43" s="296"/>
      <c r="C43" s="296"/>
      <c r="D43" s="296"/>
      <c r="E43" s="296"/>
      <c r="F43" s="296"/>
      <c r="G43" s="296"/>
      <c r="H43" s="296"/>
      <c r="I43" s="296"/>
      <c r="J43" s="296"/>
      <c r="K43" s="296"/>
      <c r="L43" s="296"/>
      <c r="M43" s="296"/>
      <c r="N43" s="296"/>
      <c r="O43" s="296"/>
      <c r="P43" s="201"/>
      <c r="Q43" s="201"/>
      <c r="R43" s="201"/>
      <c r="S43" s="201"/>
      <c r="T43" s="201"/>
      <c r="U43" s="201"/>
      <c r="V43" s="201"/>
      <c r="W43" s="201"/>
      <c r="X43" s="201"/>
      <c r="Y43" s="201"/>
      <c r="Z43" s="201"/>
      <c r="AA43" s="728" t="s">
        <v>66</v>
      </c>
      <c r="AB43" s="623"/>
      <c r="AC43" s="201"/>
      <c r="AD43" s="201"/>
      <c r="AE43" s="201"/>
      <c r="AF43" s="201"/>
      <c r="AG43" s="201"/>
      <c r="AH43" s="201"/>
      <c r="AI43" s="201"/>
      <c r="AJ43" s="201"/>
      <c r="AK43" s="201"/>
      <c r="AL43" s="201"/>
      <c r="AM43" s="201"/>
      <c r="AN43" s="201"/>
      <c r="AO43" s="201"/>
      <c r="AP43" s="201"/>
      <c r="AQ43" s="201"/>
      <c r="AR43" s="201"/>
      <c r="AS43" s="201"/>
      <c r="AT43" s="201"/>
    </row>
    <row r="44" spans="1:46" ht="15.75">
      <c r="A44" s="306" t="s">
        <v>217</v>
      </c>
      <c r="B44" s="306"/>
      <c r="C44" s="854" t="str">
        <f>C3</f>
        <v>Utah Dairy Farmer</v>
      </c>
      <c r="D44" s="854"/>
      <c r="E44" s="854"/>
      <c r="F44" s="296" t="s">
        <v>218</v>
      </c>
      <c r="G44" s="853">
        <f>H3</f>
        <v>38737</v>
      </c>
      <c r="H44" s="853"/>
      <c r="I44" s="296" t="s">
        <v>4</v>
      </c>
      <c r="J44" s="306" t="s">
        <v>219</v>
      </c>
      <c r="K44" s="854" t="str">
        <f>L3</f>
        <v>kig</v>
      </c>
      <c r="L44" s="854"/>
      <c r="M44" s="854"/>
      <c r="N44" s="669"/>
      <c r="O44" s="296"/>
      <c r="P44" s="201"/>
      <c r="Q44" s="201"/>
      <c r="R44" s="201"/>
      <c r="S44" s="201"/>
      <c r="T44" s="201"/>
      <c r="U44" s="201"/>
      <c r="V44" s="201"/>
      <c r="W44" s="201"/>
      <c r="X44" s="201"/>
      <c r="Y44" s="201"/>
      <c r="Z44" s="201"/>
      <c r="AA44" s="728" t="s">
        <v>67</v>
      </c>
      <c r="AB44" s="623"/>
      <c r="AC44" s="201"/>
      <c r="AD44" s="201"/>
      <c r="AE44" s="201"/>
      <c r="AF44" s="201"/>
      <c r="AG44" s="201"/>
      <c r="AH44" s="201"/>
      <c r="AI44" s="201"/>
      <c r="AJ44" s="201"/>
      <c r="AK44" s="201"/>
      <c r="AL44" s="201"/>
      <c r="AM44" s="201"/>
      <c r="AN44" s="201"/>
      <c r="AO44" s="201"/>
      <c r="AP44" s="201"/>
      <c r="AQ44" s="201"/>
      <c r="AR44" s="201"/>
      <c r="AS44" s="201"/>
      <c r="AT44" s="201"/>
    </row>
    <row r="45" spans="1:46" ht="16.5" thickBot="1">
      <c r="A45" s="296"/>
      <c r="B45" s="296"/>
      <c r="C45" s="296"/>
      <c r="D45" s="296"/>
      <c r="E45" s="296"/>
      <c r="F45" s="296"/>
      <c r="G45" s="296"/>
      <c r="H45" s="296"/>
      <c r="I45" s="296"/>
      <c r="J45" s="296"/>
      <c r="K45" s="296"/>
      <c r="L45" s="296"/>
      <c r="M45" s="296"/>
      <c r="N45" s="296"/>
      <c r="O45" s="296"/>
      <c r="P45" s="201"/>
      <c r="Q45" s="201"/>
      <c r="R45" s="201"/>
      <c r="S45" s="201"/>
      <c r="T45" s="201"/>
      <c r="U45" s="201"/>
      <c r="V45" s="201"/>
      <c r="W45" s="201"/>
      <c r="X45" s="201"/>
      <c r="Y45" s="201"/>
      <c r="Z45" s="201"/>
      <c r="AA45" s="728" t="s">
        <v>305</v>
      </c>
      <c r="AB45" s="623"/>
      <c r="AC45" s="201"/>
      <c r="AD45" s="201"/>
      <c r="AE45" s="201"/>
      <c r="AF45" s="201"/>
      <c r="AG45" s="201"/>
      <c r="AH45" s="201"/>
      <c r="AI45" s="201"/>
      <c r="AJ45" s="201"/>
      <c r="AK45" s="201"/>
      <c r="AL45" s="201"/>
      <c r="AM45" s="201"/>
      <c r="AN45" s="201"/>
      <c r="AO45" s="201"/>
      <c r="AP45" s="201"/>
      <c r="AQ45" s="201"/>
      <c r="AR45" s="201"/>
      <c r="AS45" s="201"/>
      <c r="AT45" s="201"/>
    </row>
    <row r="46" spans="1:46" ht="15.75">
      <c r="A46" s="331" t="s">
        <v>220</v>
      </c>
      <c r="B46" s="332"/>
      <c r="C46" s="332"/>
      <c r="D46" s="844"/>
      <c r="E46" s="845"/>
      <c r="F46" s="845"/>
      <c r="G46" s="845"/>
      <c r="H46" s="845"/>
      <c r="I46" s="845"/>
      <c r="J46" s="845"/>
      <c r="K46" s="845"/>
      <c r="L46" s="845"/>
      <c r="M46" s="845"/>
      <c r="N46" s="845"/>
      <c r="O46" s="846"/>
      <c r="P46" s="201"/>
      <c r="Q46" s="201"/>
      <c r="R46" s="201"/>
      <c r="S46" s="201"/>
      <c r="T46" s="201"/>
      <c r="U46" s="201"/>
      <c r="V46" s="201"/>
      <c r="W46" s="201"/>
      <c r="X46" s="201"/>
      <c r="Y46" s="201"/>
      <c r="Z46" s="201"/>
      <c r="AA46" s="728" t="s">
        <v>211</v>
      </c>
      <c r="AB46" s="623"/>
      <c r="AC46" s="201"/>
      <c r="AD46" s="201"/>
      <c r="AE46" s="201"/>
      <c r="AF46" s="201"/>
      <c r="AG46" s="201"/>
      <c r="AH46" s="201"/>
      <c r="AI46" s="201"/>
      <c r="AJ46" s="201"/>
      <c r="AK46" s="201"/>
      <c r="AL46" s="201"/>
      <c r="AM46" s="201"/>
      <c r="AN46" s="201"/>
      <c r="AO46" s="201"/>
      <c r="AP46" s="201"/>
      <c r="AQ46" s="201"/>
      <c r="AR46" s="201"/>
      <c r="AS46" s="201"/>
      <c r="AT46" s="201"/>
    </row>
    <row r="47" spans="1:46" ht="15.75">
      <c r="A47" s="333" t="s">
        <v>221</v>
      </c>
      <c r="B47" s="334"/>
      <c r="C47" s="334"/>
      <c r="D47" s="847" t="s">
        <v>4</v>
      </c>
      <c r="E47" s="848"/>
      <c r="F47" s="730"/>
      <c r="G47" s="847" t="s">
        <v>4</v>
      </c>
      <c r="H47" s="848"/>
      <c r="I47" s="730"/>
      <c r="J47" s="847" t="s">
        <v>4</v>
      </c>
      <c r="K47" s="848"/>
      <c r="L47" s="730"/>
      <c r="M47" s="847" t="s">
        <v>4</v>
      </c>
      <c r="N47" s="848"/>
      <c r="O47" s="730"/>
      <c r="P47" s="201"/>
      <c r="Q47" s="201"/>
      <c r="R47" s="201"/>
      <c r="S47" s="201"/>
      <c r="T47" s="201"/>
      <c r="U47" s="201"/>
      <c r="V47" s="201"/>
      <c r="W47" s="201"/>
      <c r="X47" s="201"/>
      <c r="Y47" s="201"/>
      <c r="Z47" s="201"/>
      <c r="AA47" s="728" t="s">
        <v>503</v>
      </c>
      <c r="AB47" s="623"/>
      <c r="AC47" s="201"/>
      <c r="AD47" s="201"/>
      <c r="AE47" s="201"/>
      <c r="AF47" s="201"/>
      <c r="AG47" s="201"/>
      <c r="AH47" s="201"/>
      <c r="AI47" s="201"/>
      <c r="AJ47" s="201"/>
      <c r="AK47" s="201"/>
      <c r="AL47" s="201"/>
      <c r="AM47" s="201"/>
      <c r="AN47" s="201"/>
      <c r="AO47" s="201"/>
      <c r="AP47" s="201"/>
      <c r="AQ47" s="201"/>
      <c r="AR47" s="201"/>
      <c r="AS47" s="201"/>
      <c r="AT47" s="201"/>
    </row>
    <row r="48" spans="1:46" ht="16.5" thickBot="1">
      <c r="A48" s="335" t="s">
        <v>222</v>
      </c>
      <c r="B48" s="705"/>
      <c r="C48" s="336"/>
      <c r="D48" s="856"/>
      <c r="E48" s="857"/>
      <c r="F48" s="731" t="str">
        <f>IF(D47=" "," ",VLOOKUP($D47,'Crop Uptk'!$A$5:$E$38,2,TRUE))</f>
        <v> </v>
      </c>
      <c r="G48" s="856"/>
      <c r="H48" s="857"/>
      <c r="I48" s="731" t="str">
        <f>IF(G47=" "," ",VLOOKUP($G47,'Crop Uptk'!$A$5:$E$38,2,TRUE))</f>
        <v> </v>
      </c>
      <c r="J48" s="856"/>
      <c r="K48" s="857"/>
      <c r="L48" s="731" t="str">
        <f>IF(J47=" "," ",VLOOKUP($J47,'Crop Uptk'!$A$5:$E$38,2,TRUE))</f>
        <v> </v>
      </c>
      <c r="M48" s="856"/>
      <c r="N48" s="857"/>
      <c r="O48" s="731" t="str">
        <f>IF(M47=" "," ",VLOOKUP($M47,'Crop Uptk'!$A$5:$E$38,2,TRUE))</f>
        <v> </v>
      </c>
      <c r="P48" s="201"/>
      <c r="Q48" s="201"/>
      <c r="R48" s="201"/>
      <c r="S48" s="201"/>
      <c r="T48" s="201"/>
      <c r="U48" s="201"/>
      <c r="V48" s="201"/>
      <c r="W48" s="201"/>
      <c r="X48" s="201"/>
      <c r="Y48" s="201"/>
      <c r="Z48" s="201"/>
      <c r="AA48" s="728" t="s">
        <v>212</v>
      </c>
      <c r="AB48" s="623"/>
      <c r="AC48" s="201"/>
      <c r="AD48" s="201"/>
      <c r="AE48" s="201"/>
      <c r="AF48" s="201"/>
      <c r="AG48" s="201"/>
      <c r="AH48" s="201"/>
      <c r="AI48" s="201"/>
      <c r="AJ48" s="201"/>
      <c r="AK48" s="201"/>
      <c r="AL48" s="201"/>
      <c r="AM48" s="201"/>
      <c r="AN48" s="201"/>
      <c r="AO48" s="201"/>
      <c r="AP48" s="201"/>
      <c r="AQ48" s="201"/>
      <c r="AR48" s="201"/>
      <c r="AS48" s="201"/>
      <c r="AT48" s="201"/>
    </row>
    <row r="49" spans="1:46" ht="16.5" thickBot="1">
      <c r="A49" s="296"/>
      <c r="B49" s="296"/>
      <c r="C49" s="296"/>
      <c r="D49" s="307"/>
      <c r="E49" s="307"/>
      <c r="F49" s="369"/>
      <c r="G49" s="307"/>
      <c r="H49" s="307"/>
      <c r="I49" s="307"/>
      <c r="J49" s="307"/>
      <c r="K49" s="307"/>
      <c r="L49" s="307"/>
      <c r="M49" s="307"/>
      <c r="N49" s="307"/>
      <c r="O49" s="307"/>
      <c r="P49" s="201"/>
      <c r="Q49" s="201"/>
      <c r="R49" s="201"/>
      <c r="S49" s="201"/>
      <c r="T49" s="201"/>
      <c r="U49" s="201"/>
      <c r="V49" s="201"/>
      <c r="W49" s="201"/>
      <c r="X49" s="201"/>
      <c r="Y49" s="201"/>
      <c r="Z49" s="201"/>
      <c r="AA49" s="728" t="s">
        <v>213</v>
      </c>
      <c r="AB49" s="623"/>
      <c r="AC49" s="201"/>
      <c r="AD49" s="201"/>
      <c r="AE49" s="201"/>
      <c r="AF49" s="201"/>
      <c r="AG49" s="201"/>
      <c r="AH49" s="201"/>
      <c r="AI49" s="201"/>
      <c r="AJ49" s="201"/>
      <c r="AK49" s="201"/>
      <c r="AL49" s="201"/>
      <c r="AM49" s="201"/>
      <c r="AN49" s="201"/>
      <c r="AO49" s="201"/>
      <c r="AP49" s="201"/>
      <c r="AQ49" s="201"/>
      <c r="AR49" s="201"/>
      <c r="AS49" s="201"/>
      <c r="AT49" s="201"/>
    </row>
    <row r="50" spans="1:46" ht="15.75">
      <c r="A50" s="309" t="s">
        <v>225</v>
      </c>
      <c r="B50" s="706"/>
      <c r="C50" s="310"/>
      <c r="D50" s="316"/>
      <c r="E50" s="317"/>
      <c r="F50" s="318"/>
      <c r="G50" s="316"/>
      <c r="H50" s="317"/>
      <c r="I50" s="318"/>
      <c r="J50" s="316"/>
      <c r="K50" s="317"/>
      <c r="L50" s="318"/>
      <c r="M50" s="316"/>
      <c r="N50" s="317"/>
      <c r="O50" s="318"/>
      <c r="P50" s="201"/>
      <c r="Q50" s="201"/>
      <c r="R50" s="201"/>
      <c r="S50" s="201"/>
      <c r="T50" s="201"/>
      <c r="U50" s="201"/>
      <c r="V50" s="201"/>
      <c r="W50" s="201"/>
      <c r="X50" s="201"/>
      <c r="Y50" s="201"/>
      <c r="Z50" s="201"/>
      <c r="AA50" s="729" t="s">
        <v>214</v>
      </c>
      <c r="AB50" s="623"/>
      <c r="AC50" s="201"/>
      <c r="AD50" s="201"/>
      <c r="AE50" s="201"/>
      <c r="AF50" s="201"/>
      <c r="AG50" s="201"/>
      <c r="AH50" s="201"/>
      <c r="AI50" s="201"/>
      <c r="AJ50" s="201"/>
      <c r="AK50" s="201"/>
      <c r="AL50" s="201"/>
      <c r="AM50" s="201"/>
      <c r="AN50" s="201"/>
      <c r="AO50" s="201"/>
      <c r="AP50" s="201"/>
      <c r="AQ50" s="201"/>
      <c r="AR50" s="201"/>
      <c r="AS50" s="201"/>
      <c r="AT50" s="201"/>
    </row>
    <row r="51" spans="1:46" ht="15.75">
      <c r="A51" s="311" t="s">
        <v>226</v>
      </c>
      <c r="B51" s="304"/>
      <c r="C51" s="304"/>
      <c r="D51" s="862" t="str">
        <f>IF(D47=" "," ",VLOOKUP($D47,'Crop Uptk'!$A$5:$E$38,3,TRUE)*D48)</f>
        <v> </v>
      </c>
      <c r="E51" s="864" t="str">
        <f>IF(D47=" "," ",VLOOKUP($D47,'Crop Uptk'!$A$5:$E$38,4,TRUE)*D48)</f>
        <v> </v>
      </c>
      <c r="F51" s="866" t="str">
        <f>IF(D47=" "," ",VLOOKUP($D47,'Crop Uptk'!$A$5:$E$38,5,TRUE)*D48)</f>
        <v> </v>
      </c>
      <c r="G51" s="862" t="str">
        <f>IF(G47=" "," ",VLOOKUP($G47,'Crop Uptk'!$A$5:$E$38,3,TRUE)*G48)</f>
        <v> </v>
      </c>
      <c r="H51" s="864" t="str">
        <f>IF(G47=" "," ",VLOOKUP($G47,'Crop Uptk'!$A$5:$E$38,4,TRUE)*G48)</f>
        <v> </v>
      </c>
      <c r="I51" s="866" t="str">
        <f>IF(G47=" "," ",VLOOKUP($G47,'Crop Uptk'!$A$5:$E$38,5,TRUE)*G48)</f>
        <v> </v>
      </c>
      <c r="J51" s="862" t="str">
        <f>IF(J47=" "," ",VLOOKUP($J47,'Crop Uptk'!$A$5:$E$38,3,TRUE)*J48)</f>
        <v> </v>
      </c>
      <c r="K51" s="864" t="str">
        <f>IF(J47=" "," ",VLOOKUP($J47,'Crop Uptk'!$A$5:$E$38,4,TRUE)*J48)</f>
        <v> </v>
      </c>
      <c r="L51" s="866" t="str">
        <f>IF(J47=" "," ",VLOOKUP($J47,'Crop Uptk'!$A$5:$E$38,5,TRUE)*J48)</f>
        <v> </v>
      </c>
      <c r="M51" s="862" t="str">
        <f>IF(M47=" "," ",VLOOKUP($M47,'Crop Uptk'!$A$5:$E$38,3,TRUE)*M48)</f>
        <v> </v>
      </c>
      <c r="N51" s="864" t="str">
        <f>IF(M47=" "," ",VLOOKUP($M47,'Crop Uptk'!$A$5:$E$38,4,TRUE)*M48)</f>
        <v> </v>
      </c>
      <c r="O51" s="866" t="str">
        <f>IF(M47=" "," ",VLOOKUP($M47,'Crop Uptk'!$A$5:$E$38,5,TRUE)*M48)</f>
        <v> </v>
      </c>
      <c r="P51" s="201"/>
      <c r="Q51" s="201"/>
      <c r="R51" s="201"/>
      <c r="S51" s="201"/>
      <c r="T51" s="201"/>
      <c r="U51" s="201"/>
      <c r="V51" s="201"/>
      <c r="W51" s="201"/>
      <c r="X51" s="201"/>
      <c r="Y51" s="201"/>
      <c r="Z51" s="201"/>
      <c r="AA51" s="728" t="s">
        <v>504</v>
      </c>
      <c r="AB51" s="623"/>
      <c r="AC51" s="201"/>
      <c r="AD51" s="201"/>
      <c r="AE51" s="201"/>
      <c r="AF51" s="201"/>
      <c r="AG51" s="201"/>
      <c r="AH51" s="201"/>
      <c r="AI51" s="201"/>
      <c r="AJ51" s="201"/>
      <c r="AK51" s="201"/>
      <c r="AL51" s="201"/>
      <c r="AM51" s="201"/>
      <c r="AN51" s="201"/>
      <c r="AO51" s="201"/>
      <c r="AP51" s="201"/>
      <c r="AQ51" s="201"/>
      <c r="AR51" s="201"/>
      <c r="AS51" s="201"/>
      <c r="AT51" s="201"/>
    </row>
    <row r="52" spans="1:46" ht="15.75">
      <c r="A52" s="312" t="s">
        <v>227</v>
      </c>
      <c r="B52" s="305"/>
      <c r="C52" s="305"/>
      <c r="D52" s="863"/>
      <c r="E52" s="865"/>
      <c r="F52" s="867"/>
      <c r="G52" s="863"/>
      <c r="H52" s="865"/>
      <c r="I52" s="867"/>
      <c r="J52" s="863"/>
      <c r="K52" s="865"/>
      <c r="L52" s="867"/>
      <c r="M52" s="863"/>
      <c r="N52" s="865"/>
      <c r="O52" s="867"/>
      <c r="P52" s="201"/>
      <c r="Q52" s="201"/>
      <c r="R52" s="201"/>
      <c r="S52" s="201"/>
      <c r="T52" s="201"/>
      <c r="U52" s="201"/>
      <c r="V52" s="201"/>
      <c r="W52" s="201"/>
      <c r="X52" s="201"/>
      <c r="Y52" s="201"/>
      <c r="Z52" s="201"/>
      <c r="AA52" s="728" t="s">
        <v>505</v>
      </c>
      <c r="AB52" s="623"/>
      <c r="AC52" s="201"/>
      <c r="AD52" s="201"/>
      <c r="AE52" s="201"/>
      <c r="AF52" s="201"/>
      <c r="AG52" s="201"/>
      <c r="AH52" s="201"/>
      <c r="AI52" s="201"/>
      <c r="AJ52" s="201"/>
      <c r="AK52" s="201"/>
      <c r="AL52" s="201"/>
      <c r="AM52" s="201"/>
      <c r="AN52" s="201"/>
      <c r="AO52" s="201"/>
      <c r="AP52" s="201"/>
      <c r="AQ52" s="201"/>
      <c r="AR52" s="201"/>
      <c r="AS52" s="201"/>
      <c r="AT52" s="201"/>
    </row>
    <row r="53" spans="1:46" ht="15.75">
      <c r="A53" s="839" t="s">
        <v>484</v>
      </c>
      <c r="B53" s="832"/>
      <c r="C53" s="840"/>
      <c r="D53" s="690"/>
      <c r="E53" s="691"/>
      <c r="F53" s="692"/>
      <c r="G53" s="702"/>
      <c r="H53" s="693"/>
      <c r="I53" s="687"/>
      <c r="J53" s="702"/>
      <c r="K53" s="693"/>
      <c r="L53" s="694"/>
      <c r="M53" s="702"/>
      <c r="N53" s="693"/>
      <c r="O53" s="694"/>
      <c r="P53" s="201"/>
      <c r="Q53" s="201"/>
      <c r="R53" s="201"/>
      <c r="S53" s="201"/>
      <c r="T53" s="201"/>
      <c r="U53" s="201"/>
      <c r="V53" s="201"/>
      <c r="W53" s="201"/>
      <c r="X53" s="201"/>
      <c r="Y53" s="201"/>
      <c r="Z53" s="201"/>
      <c r="AA53" s="728" t="s">
        <v>215</v>
      </c>
      <c r="AB53" s="623"/>
      <c r="AC53" s="201"/>
      <c r="AD53" s="201"/>
      <c r="AE53" s="201"/>
      <c r="AF53" s="201"/>
      <c r="AG53" s="201"/>
      <c r="AH53" s="201"/>
      <c r="AI53" s="201"/>
      <c r="AJ53" s="201"/>
      <c r="AK53" s="201"/>
      <c r="AL53" s="201"/>
      <c r="AM53" s="201"/>
      <c r="AN53" s="201"/>
      <c r="AO53" s="201"/>
      <c r="AP53" s="201"/>
      <c r="AQ53" s="201"/>
      <c r="AR53" s="201"/>
      <c r="AS53" s="201"/>
      <c r="AT53" s="201"/>
    </row>
    <row r="54" spans="1:46" ht="15.75">
      <c r="A54" s="839" t="s">
        <v>228</v>
      </c>
      <c r="B54" s="832"/>
      <c r="C54" s="840"/>
      <c r="D54" s="362"/>
      <c r="E54" s="683"/>
      <c r="F54" s="684"/>
      <c r="G54" s="362"/>
      <c r="H54" s="683"/>
      <c r="I54" s="684"/>
      <c r="J54" s="362"/>
      <c r="K54" s="683"/>
      <c r="L54" s="684"/>
      <c r="M54" s="364"/>
      <c r="N54" s="683"/>
      <c r="O54" s="684"/>
      <c r="P54" s="201"/>
      <c r="Q54" s="201"/>
      <c r="R54" s="201"/>
      <c r="S54" s="201"/>
      <c r="T54" s="201"/>
      <c r="U54" s="201"/>
      <c r="V54" s="201"/>
      <c r="W54" s="201"/>
      <c r="X54" s="201"/>
      <c r="Y54" s="201"/>
      <c r="Z54" s="201"/>
      <c r="AA54" s="728" t="s">
        <v>216</v>
      </c>
      <c r="AB54" s="623"/>
      <c r="AC54" s="201"/>
      <c r="AD54" s="201"/>
      <c r="AE54" s="201"/>
      <c r="AF54" s="201"/>
      <c r="AG54" s="201"/>
      <c r="AH54" s="201"/>
      <c r="AI54" s="201"/>
      <c r="AJ54" s="201"/>
      <c r="AK54" s="201"/>
      <c r="AL54" s="201"/>
      <c r="AM54" s="201"/>
      <c r="AN54" s="201"/>
      <c r="AO54" s="201"/>
      <c r="AP54" s="201"/>
      <c r="AQ54" s="201"/>
      <c r="AR54" s="201"/>
      <c r="AS54" s="201"/>
      <c r="AT54" s="201"/>
    </row>
    <row r="55" spans="1:46" ht="15.75">
      <c r="A55" s="839" t="s">
        <v>229</v>
      </c>
      <c r="B55" s="832"/>
      <c r="C55" s="840"/>
      <c r="D55" s="362"/>
      <c r="E55" s="683"/>
      <c r="F55" s="684"/>
      <c r="G55" s="362"/>
      <c r="H55" s="683"/>
      <c r="I55" s="684"/>
      <c r="J55" s="362"/>
      <c r="K55" s="683"/>
      <c r="L55" s="684"/>
      <c r="M55" s="364"/>
      <c r="N55" s="683"/>
      <c r="O55" s="684"/>
      <c r="P55" s="201"/>
      <c r="Q55" s="201"/>
      <c r="R55" s="201"/>
      <c r="S55" s="201"/>
      <c r="T55" s="201"/>
      <c r="U55" s="201"/>
      <c r="V55" s="201"/>
      <c r="W55" s="201"/>
      <c r="X55" s="201"/>
      <c r="Y55" s="201"/>
      <c r="Z55" s="201"/>
      <c r="AA55" s="728" t="s">
        <v>506</v>
      </c>
      <c r="AB55" s="623"/>
      <c r="AC55" s="201"/>
      <c r="AD55" s="201"/>
      <c r="AE55" s="201"/>
      <c r="AF55" s="201"/>
      <c r="AG55" s="201"/>
      <c r="AH55" s="201"/>
      <c r="AI55" s="201"/>
      <c r="AJ55" s="201"/>
      <c r="AK55" s="201"/>
      <c r="AL55" s="201"/>
      <c r="AM55" s="201"/>
      <c r="AN55" s="201"/>
      <c r="AO55" s="201"/>
      <c r="AP55" s="201"/>
      <c r="AQ55" s="201"/>
      <c r="AR55" s="201"/>
      <c r="AS55" s="201"/>
      <c r="AT55" s="201"/>
    </row>
    <row r="56" spans="1:46" ht="15.75">
      <c r="A56" s="839" t="s">
        <v>230</v>
      </c>
      <c r="B56" s="832"/>
      <c r="C56" s="840"/>
      <c r="D56" s="362"/>
      <c r="E56" s="683"/>
      <c r="F56" s="684"/>
      <c r="G56" s="362"/>
      <c r="H56" s="683"/>
      <c r="I56" s="684"/>
      <c r="J56" s="362"/>
      <c r="K56" s="683"/>
      <c r="L56" s="684"/>
      <c r="M56" s="364"/>
      <c r="N56" s="683"/>
      <c r="O56" s="684"/>
      <c r="P56" s="201"/>
      <c r="Q56" s="201"/>
      <c r="R56" s="201"/>
      <c r="S56" s="201"/>
      <c r="T56" s="201"/>
      <c r="U56" s="201"/>
      <c r="V56" s="201"/>
      <c r="W56" s="201"/>
      <c r="X56" s="201"/>
      <c r="Y56" s="201"/>
      <c r="Z56" s="201"/>
      <c r="AA56" s="728" t="s">
        <v>309</v>
      </c>
      <c r="AB56" s="623"/>
      <c r="AC56" s="201"/>
      <c r="AD56" s="201"/>
      <c r="AE56" s="201"/>
      <c r="AF56" s="201"/>
      <c r="AG56" s="201"/>
      <c r="AH56" s="201"/>
      <c r="AI56" s="201"/>
      <c r="AJ56" s="201"/>
      <c r="AK56" s="201"/>
      <c r="AL56" s="201"/>
      <c r="AM56" s="201"/>
      <c r="AN56" s="201"/>
      <c r="AO56" s="201"/>
      <c r="AP56" s="201"/>
      <c r="AQ56" s="201"/>
      <c r="AR56" s="201"/>
      <c r="AS56" s="201"/>
      <c r="AT56" s="201"/>
    </row>
    <row r="57" spans="1:46" ht="15.75">
      <c r="A57" s="839" t="s">
        <v>231</v>
      </c>
      <c r="B57" s="832"/>
      <c r="C57" s="840"/>
      <c r="D57" s="362"/>
      <c r="E57" s="218"/>
      <c r="F57" s="363"/>
      <c r="G57" s="362"/>
      <c r="H57" s="218"/>
      <c r="I57" s="363"/>
      <c r="J57" s="362"/>
      <c r="K57" s="218"/>
      <c r="L57" s="365"/>
      <c r="M57" s="364"/>
      <c r="N57" s="218"/>
      <c r="O57" s="363"/>
      <c r="P57" s="201"/>
      <c r="Q57" s="201"/>
      <c r="R57" s="201"/>
      <c r="S57" s="201"/>
      <c r="T57" s="201"/>
      <c r="U57" s="201"/>
      <c r="V57" s="201"/>
      <c r="W57" s="201"/>
      <c r="X57" s="201"/>
      <c r="Y57" s="201"/>
      <c r="Z57" s="201"/>
      <c r="AA57" s="729" t="s">
        <v>308</v>
      </c>
      <c r="AB57" s="623"/>
      <c r="AC57" s="201"/>
      <c r="AD57" s="201"/>
      <c r="AE57" s="201"/>
      <c r="AF57" s="201"/>
      <c r="AG57" s="201"/>
      <c r="AH57" s="201"/>
      <c r="AI57" s="201"/>
      <c r="AJ57" s="201"/>
      <c r="AK57" s="201"/>
      <c r="AL57" s="201"/>
      <c r="AM57" s="201"/>
      <c r="AN57" s="201"/>
      <c r="AO57" s="201"/>
      <c r="AP57" s="201"/>
      <c r="AQ57" s="201"/>
      <c r="AR57" s="201"/>
      <c r="AS57" s="201"/>
      <c r="AT57" s="201"/>
    </row>
    <row r="58" spans="1:46" ht="15.75">
      <c r="A58" s="839" t="s">
        <v>232</v>
      </c>
      <c r="B58" s="832"/>
      <c r="C58" s="840"/>
      <c r="D58" s="362"/>
      <c r="E58" s="218"/>
      <c r="F58" s="363"/>
      <c r="G58" s="362"/>
      <c r="H58" s="218"/>
      <c r="I58" s="363"/>
      <c r="J58" s="362"/>
      <c r="K58" s="218"/>
      <c r="L58" s="363"/>
      <c r="M58" s="364"/>
      <c r="N58" s="218"/>
      <c r="O58" s="363"/>
      <c r="P58" s="201"/>
      <c r="Q58" s="201"/>
      <c r="R58" s="201"/>
      <c r="S58" s="201"/>
      <c r="T58" s="201"/>
      <c r="U58" s="201"/>
      <c r="V58" s="201"/>
      <c r="W58" s="201"/>
      <c r="X58" s="201"/>
      <c r="Y58" s="201"/>
      <c r="Z58" s="201"/>
      <c r="AA58" s="728" t="s">
        <v>507</v>
      </c>
      <c r="AB58" s="623"/>
      <c r="AC58" s="201"/>
      <c r="AD58" s="201"/>
      <c r="AE58" s="201"/>
      <c r="AF58" s="201"/>
      <c r="AG58" s="201"/>
      <c r="AH58" s="201"/>
      <c r="AI58" s="201"/>
      <c r="AJ58" s="201"/>
      <c r="AK58" s="201"/>
      <c r="AL58" s="201"/>
      <c r="AM58" s="201"/>
      <c r="AN58" s="201"/>
      <c r="AO58" s="201"/>
      <c r="AP58" s="201"/>
      <c r="AQ58" s="201"/>
      <c r="AR58" s="201"/>
      <c r="AS58" s="201"/>
      <c r="AT58" s="201"/>
    </row>
    <row r="59" spans="1:46" ht="15.75">
      <c r="A59" s="839" t="s">
        <v>233</v>
      </c>
      <c r="B59" s="832"/>
      <c r="C59" s="840"/>
      <c r="D59" s="362"/>
      <c r="E59" s="218"/>
      <c r="F59" s="363"/>
      <c r="G59" s="362"/>
      <c r="H59" s="218"/>
      <c r="I59" s="363"/>
      <c r="J59" s="362"/>
      <c r="K59" s="218"/>
      <c r="L59" s="363"/>
      <c r="M59" s="364"/>
      <c r="N59" s="218"/>
      <c r="O59" s="363"/>
      <c r="P59" s="201"/>
      <c r="Q59" s="201"/>
      <c r="R59" s="201"/>
      <c r="S59" s="201"/>
      <c r="T59" s="201"/>
      <c r="U59" s="201"/>
      <c r="V59" s="201"/>
      <c r="W59" s="201"/>
      <c r="X59" s="201"/>
      <c r="Y59" s="201"/>
      <c r="Z59" s="201"/>
      <c r="AA59" s="728" t="s">
        <v>508</v>
      </c>
      <c r="AB59" s="623"/>
      <c r="AC59" s="201"/>
      <c r="AD59" s="201"/>
      <c r="AE59" s="201"/>
      <c r="AF59" s="201"/>
      <c r="AG59" s="201"/>
      <c r="AH59" s="201"/>
      <c r="AI59" s="201"/>
      <c r="AJ59" s="201"/>
      <c r="AK59" s="201"/>
      <c r="AL59" s="201"/>
      <c r="AM59" s="201"/>
      <c r="AN59" s="201"/>
      <c r="AO59" s="201"/>
      <c r="AP59" s="201"/>
      <c r="AQ59" s="201"/>
      <c r="AR59" s="201"/>
      <c r="AS59" s="201"/>
      <c r="AT59" s="201"/>
    </row>
    <row r="60" spans="1:46" ht="15.75">
      <c r="A60" s="839" t="s">
        <v>234</v>
      </c>
      <c r="B60" s="832"/>
      <c r="C60" s="840"/>
      <c r="D60" s="362"/>
      <c r="E60" s="703"/>
      <c r="F60" s="684"/>
      <c r="G60" s="362"/>
      <c r="H60" s="683"/>
      <c r="I60" s="684"/>
      <c r="J60" s="362"/>
      <c r="K60" s="683"/>
      <c r="L60" s="684"/>
      <c r="M60" s="364"/>
      <c r="N60" s="683"/>
      <c r="O60" s="684"/>
      <c r="P60" s="201"/>
      <c r="Q60" s="201"/>
      <c r="R60" s="201"/>
      <c r="S60" s="201"/>
      <c r="T60" s="201"/>
      <c r="U60" s="201"/>
      <c r="V60" s="201"/>
      <c r="W60" s="201"/>
      <c r="X60" s="201"/>
      <c r="Y60" s="201"/>
      <c r="Z60" s="201"/>
      <c r="AA60" s="728" t="s">
        <v>509</v>
      </c>
      <c r="AB60" s="623"/>
      <c r="AC60" s="201"/>
      <c r="AD60" s="201"/>
      <c r="AE60" s="201"/>
      <c r="AF60" s="201"/>
      <c r="AG60" s="201"/>
      <c r="AH60" s="201"/>
      <c r="AI60" s="201"/>
      <c r="AJ60" s="201"/>
      <c r="AK60" s="201"/>
      <c r="AL60" s="201"/>
      <c r="AM60" s="201"/>
      <c r="AN60" s="201"/>
      <c r="AO60" s="201"/>
      <c r="AP60" s="201"/>
      <c r="AQ60" s="201"/>
      <c r="AR60" s="201"/>
      <c r="AS60" s="201"/>
      <c r="AT60" s="201"/>
    </row>
    <row r="61" spans="1:46" ht="16.5" thickBot="1">
      <c r="A61" s="313" t="s">
        <v>235</v>
      </c>
      <c r="B61" s="314"/>
      <c r="C61" s="314"/>
      <c r="D61" s="349"/>
      <c r="E61" s="348"/>
      <c r="F61" s="347"/>
      <c r="G61" s="349"/>
      <c r="H61" s="348"/>
      <c r="I61" s="377"/>
      <c r="J61" s="349"/>
      <c r="K61" s="348"/>
      <c r="L61" s="377"/>
      <c r="M61" s="349"/>
      <c r="N61" s="348"/>
      <c r="O61" s="378"/>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row>
    <row r="62" spans="1:46" ht="16.5" thickBot="1">
      <c r="A62" s="296"/>
      <c r="B62" s="296"/>
      <c r="C62" s="296"/>
      <c r="D62" s="307"/>
      <c r="E62" s="307"/>
      <c r="F62" s="307"/>
      <c r="G62" s="307"/>
      <c r="H62" s="307"/>
      <c r="I62" s="307"/>
      <c r="J62" s="307"/>
      <c r="K62" s="307"/>
      <c r="L62" s="307"/>
      <c r="M62" s="307"/>
      <c r="N62" s="307"/>
      <c r="O62" s="307"/>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row>
    <row r="63" spans="1:46" ht="15.75">
      <c r="A63" s="835" t="s">
        <v>236</v>
      </c>
      <c r="B63" s="836"/>
      <c r="C63" s="308" t="s">
        <v>237</v>
      </c>
      <c r="D63" s="337"/>
      <c r="E63" s="338"/>
      <c r="F63" s="339"/>
      <c r="G63" s="337"/>
      <c r="H63" s="338"/>
      <c r="I63" s="340"/>
      <c r="J63" s="337"/>
      <c r="K63" s="338"/>
      <c r="L63" s="340"/>
      <c r="M63" s="341"/>
      <c r="N63" s="338"/>
      <c r="O63" s="340"/>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row>
    <row r="64" spans="1:46" ht="16.5" thickBot="1">
      <c r="A64" s="837"/>
      <c r="B64" s="838"/>
      <c r="C64" s="315" t="s">
        <v>238</v>
      </c>
      <c r="D64" s="342"/>
      <c r="E64" s="343"/>
      <c r="F64" s="344"/>
      <c r="G64" s="342"/>
      <c r="H64" s="343"/>
      <c r="I64" s="345"/>
      <c r="J64" s="342"/>
      <c r="K64" s="343"/>
      <c r="L64" s="345"/>
      <c r="M64" s="346"/>
      <c r="N64" s="343"/>
      <c r="O64" s="345"/>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row>
    <row r="65" spans="1:46" ht="16.5" thickBot="1">
      <c r="A65" s="296"/>
      <c r="B65" s="296"/>
      <c r="C65" s="296"/>
      <c r="D65" s="296"/>
      <c r="E65" s="296"/>
      <c r="F65" s="296"/>
      <c r="G65" s="296"/>
      <c r="H65" s="296"/>
      <c r="I65" s="296"/>
      <c r="J65" s="296"/>
      <c r="K65" s="296"/>
      <c r="L65" s="296"/>
      <c r="M65" s="296"/>
      <c r="N65" s="296"/>
      <c r="O65" s="296"/>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row>
    <row r="66" spans="1:46" ht="15.75">
      <c r="A66" s="667" t="s">
        <v>311</v>
      </c>
      <c r="B66" s="668"/>
      <c r="C66" s="668"/>
      <c r="D66" s="668"/>
      <c r="E66" s="820"/>
      <c r="F66" s="820"/>
      <c r="G66" s="820"/>
      <c r="H66" s="820"/>
      <c r="I66" s="820"/>
      <c r="J66" s="820"/>
      <c r="K66" s="820"/>
      <c r="L66" s="820"/>
      <c r="M66" s="820"/>
      <c r="N66" s="820"/>
      <c r="O66" s="82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row>
    <row r="67" spans="1:46" ht="3.75" customHeight="1">
      <c r="A67" s="822" t="s">
        <v>4</v>
      </c>
      <c r="B67" s="823"/>
      <c r="C67" s="823"/>
      <c r="D67" s="823"/>
      <c r="E67" s="823"/>
      <c r="F67" s="823"/>
      <c r="G67" s="823"/>
      <c r="H67" s="823"/>
      <c r="I67" s="823"/>
      <c r="J67" s="823"/>
      <c r="K67" s="823"/>
      <c r="L67" s="823"/>
      <c r="M67" s="823"/>
      <c r="N67" s="823"/>
      <c r="O67" s="824"/>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row>
    <row r="68" spans="1:46" ht="15.75">
      <c r="A68" s="825"/>
      <c r="B68" s="826"/>
      <c r="C68" s="826"/>
      <c r="D68" s="826"/>
      <c r="E68" s="826"/>
      <c r="F68" s="826"/>
      <c r="G68" s="826"/>
      <c r="H68" s="826"/>
      <c r="I68" s="826"/>
      <c r="J68" s="826"/>
      <c r="K68" s="826"/>
      <c r="L68" s="826"/>
      <c r="M68" s="826"/>
      <c r="N68" s="826"/>
      <c r="O68" s="827"/>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row>
    <row r="69" spans="1:46" ht="15.75">
      <c r="A69" s="825"/>
      <c r="B69" s="826"/>
      <c r="C69" s="826"/>
      <c r="D69" s="826"/>
      <c r="E69" s="826"/>
      <c r="F69" s="826"/>
      <c r="G69" s="826"/>
      <c r="H69" s="826"/>
      <c r="I69" s="826"/>
      <c r="J69" s="826"/>
      <c r="K69" s="826"/>
      <c r="L69" s="826"/>
      <c r="M69" s="826"/>
      <c r="N69" s="826"/>
      <c r="O69" s="827"/>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row>
    <row r="70" spans="1:46" ht="15.75">
      <c r="A70" s="825"/>
      <c r="B70" s="826"/>
      <c r="C70" s="826"/>
      <c r="D70" s="826"/>
      <c r="E70" s="826"/>
      <c r="F70" s="826"/>
      <c r="G70" s="826"/>
      <c r="H70" s="826"/>
      <c r="I70" s="826"/>
      <c r="J70" s="826"/>
      <c r="K70" s="826"/>
      <c r="L70" s="826"/>
      <c r="M70" s="826"/>
      <c r="N70" s="826"/>
      <c r="O70" s="827"/>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row>
    <row r="71" spans="1:46" ht="15.75">
      <c r="A71" s="825"/>
      <c r="B71" s="826"/>
      <c r="C71" s="826"/>
      <c r="D71" s="826"/>
      <c r="E71" s="826"/>
      <c r="F71" s="826"/>
      <c r="G71" s="826"/>
      <c r="H71" s="826"/>
      <c r="I71" s="826"/>
      <c r="J71" s="826"/>
      <c r="K71" s="826"/>
      <c r="L71" s="826"/>
      <c r="M71" s="826"/>
      <c r="N71" s="826"/>
      <c r="O71" s="827"/>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row>
    <row r="72" spans="1:46" ht="15.75">
      <c r="A72" s="825"/>
      <c r="B72" s="826"/>
      <c r="C72" s="826"/>
      <c r="D72" s="826"/>
      <c r="E72" s="826"/>
      <c r="F72" s="826"/>
      <c r="G72" s="826"/>
      <c r="H72" s="826"/>
      <c r="I72" s="826"/>
      <c r="J72" s="826"/>
      <c r="K72" s="826"/>
      <c r="L72" s="826"/>
      <c r="M72" s="826"/>
      <c r="N72" s="826"/>
      <c r="O72" s="827"/>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row>
    <row r="73" spans="1:46" ht="15.75">
      <c r="A73" s="825"/>
      <c r="B73" s="826"/>
      <c r="C73" s="826"/>
      <c r="D73" s="826"/>
      <c r="E73" s="826"/>
      <c r="F73" s="826"/>
      <c r="G73" s="826"/>
      <c r="H73" s="826"/>
      <c r="I73" s="826"/>
      <c r="J73" s="826"/>
      <c r="K73" s="826"/>
      <c r="L73" s="826"/>
      <c r="M73" s="826"/>
      <c r="N73" s="826"/>
      <c r="O73" s="827"/>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row>
    <row r="74" spans="1:46" ht="15.75">
      <c r="A74" s="825"/>
      <c r="B74" s="826"/>
      <c r="C74" s="826"/>
      <c r="D74" s="826"/>
      <c r="E74" s="826"/>
      <c r="F74" s="826"/>
      <c r="G74" s="826"/>
      <c r="H74" s="826"/>
      <c r="I74" s="826"/>
      <c r="J74" s="826"/>
      <c r="K74" s="826"/>
      <c r="L74" s="826"/>
      <c r="M74" s="826"/>
      <c r="N74" s="826"/>
      <c r="O74" s="827"/>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row>
    <row r="75" spans="1:46" ht="15.75">
      <c r="A75" s="825"/>
      <c r="B75" s="826"/>
      <c r="C75" s="826"/>
      <c r="D75" s="826"/>
      <c r="E75" s="826"/>
      <c r="F75" s="826"/>
      <c r="G75" s="826"/>
      <c r="H75" s="826"/>
      <c r="I75" s="826"/>
      <c r="J75" s="826"/>
      <c r="K75" s="826"/>
      <c r="L75" s="826"/>
      <c r="M75" s="826"/>
      <c r="N75" s="826"/>
      <c r="O75" s="827"/>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row>
    <row r="76" spans="1:46" ht="15.75">
      <c r="A76" s="825"/>
      <c r="B76" s="826"/>
      <c r="C76" s="826"/>
      <c r="D76" s="826"/>
      <c r="E76" s="826"/>
      <c r="F76" s="826"/>
      <c r="G76" s="826"/>
      <c r="H76" s="826"/>
      <c r="I76" s="826"/>
      <c r="J76" s="826"/>
      <c r="K76" s="826"/>
      <c r="L76" s="826"/>
      <c r="M76" s="826"/>
      <c r="N76" s="826"/>
      <c r="O76" s="827"/>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row>
    <row r="77" spans="1:46" ht="15.75">
      <c r="A77" s="825"/>
      <c r="B77" s="826"/>
      <c r="C77" s="826"/>
      <c r="D77" s="826"/>
      <c r="E77" s="826"/>
      <c r="F77" s="826"/>
      <c r="G77" s="826"/>
      <c r="H77" s="826"/>
      <c r="I77" s="826"/>
      <c r="J77" s="826"/>
      <c r="K77" s="826"/>
      <c r="L77" s="826"/>
      <c r="M77" s="826"/>
      <c r="N77" s="826"/>
      <c r="O77" s="827"/>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row>
    <row r="78" spans="1:46" ht="15.75">
      <c r="A78" s="825"/>
      <c r="B78" s="826"/>
      <c r="C78" s="826"/>
      <c r="D78" s="826"/>
      <c r="E78" s="826"/>
      <c r="F78" s="826"/>
      <c r="G78" s="826"/>
      <c r="H78" s="826"/>
      <c r="I78" s="826"/>
      <c r="J78" s="826"/>
      <c r="K78" s="826"/>
      <c r="L78" s="826"/>
      <c r="M78" s="826"/>
      <c r="N78" s="826"/>
      <c r="O78" s="827"/>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row>
    <row r="79" spans="1:46" ht="15.75">
      <c r="A79" s="825"/>
      <c r="B79" s="826"/>
      <c r="C79" s="826"/>
      <c r="D79" s="826"/>
      <c r="E79" s="826"/>
      <c r="F79" s="826"/>
      <c r="G79" s="826"/>
      <c r="H79" s="826"/>
      <c r="I79" s="826"/>
      <c r="J79" s="826"/>
      <c r="K79" s="826"/>
      <c r="L79" s="826"/>
      <c r="M79" s="826"/>
      <c r="N79" s="826"/>
      <c r="O79" s="827"/>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row>
    <row r="80" spans="1:46" ht="15.75">
      <c r="A80" s="825"/>
      <c r="B80" s="826"/>
      <c r="C80" s="826"/>
      <c r="D80" s="826"/>
      <c r="E80" s="826"/>
      <c r="F80" s="826"/>
      <c r="G80" s="826"/>
      <c r="H80" s="826"/>
      <c r="I80" s="826"/>
      <c r="J80" s="826"/>
      <c r="K80" s="826"/>
      <c r="L80" s="826"/>
      <c r="M80" s="826"/>
      <c r="N80" s="826"/>
      <c r="O80" s="827"/>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row>
    <row r="81" spans="1:46" ht="15.75">
      <c r="A81" s="825"/>
      <c r="B81" s="826"/>
      <c r="C81" s="826"/>
      <c r="D81" s="826"/>
      <c r="E81" s="826"/>
      <c r="F81" s="826"/>
      <c r="G81" s="826"/>
      <c r="H81" s="826"/>
      <c r="I81" s="826"/>
      <c r="J81" s="826"/>
      <c r="K81" s="826"/>
      <c r="L81" s="826"/>
      <c r="M81" s="826"/>
      <c r="N81" s="826"/>
      <c r="O81" s="827"/>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row>
    <row r="82" spans="1:46" ht="16.5" thickBot="1">
      <c r="A82" s="828"/>
      <c r="B82" s="829"/>
      <c r="C82" s="829"/>
      <c r="D82" s="829"/>
      <c r="E82" s="829"/>
      <c r="F82" s="829"/>
      <c r="G82" s="829"/>
      <c r="H82" s="829"/>
      <c r="I82" s="829"/>
      <c r="J82" s="829"/>
      <c r="K82" s="829"/>
      <c r="L82" s="829"/>
      <c r="M82" s="829"/>
      <c r="N82" s="829"/>
      <c r="O82" s="830"/>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row>
    <row r="83" spans="16:46" ht="15.75">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row>
    <row r="84" spans="16:46" ht="15.75">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row>
    <row r="85" spans="16:46" ht="15.75">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row>
    <row r="86" spans="16:46" ht="15.75">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row>
    <row r="87" spans="16:46" ht="15.75">
      <c r="P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row>
    <row r="88" spans="16:46" ht="15.75">
      <c r="P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row>
    <row r="89" spans="16:46" ht="15.75">
      <c r="P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row>
    <row r="90" ht="15.75">
      <c r="V90" s="201"/>
    </row>
    <row r="91" ht="15.75">
      <c r="V91" s="201"/>
    </row>
    <row r="92" ht="15.75">
      <c r="V92" s="201"/>
    </row>
    <row r="93" ht="15.75">
      <c r="V93" s="201"/>
    </row>
    <row r="94" ht="15.75">
      <c r="V94" s="201"/>
    </row>
    <row r="95" ht="15.75">
      <c r="V95" s="201"/>
    </row>
    <row r="96" ht="15.75">
      <c r="V96" s="201"/>
    </row>
    <row r="97" ht="15.75">
      <c r="V97" s="201"/>
    </row>
    <row r="98" ht="15.75">
      <c r="V98" s="201"/>
    </row>
    <row r="99" ht="15.75">
      <c r="V99" s="201"/>
    </row>
    <row r="100" ht="15.75">
      <c r="V100" s="201"/>
    </row>
  </sheetData>
  <sheetProtection password="D339" sheet="1" objects="1" scenarios="1"/>
  <mergeCells count="85">
    <mergeCell ref="Q4:T4"/>
    <mergeCell ref="Q19:T19"/>
    <mergeCell ref="A12:C12"/>
    <mergeCell ref="A13:C13"/>
    <mergeCell ref="A14:C14"/>
    <mergeCell ref="A15:C15"/>
    <mergeCell ref="A16:C16"/>
    <mergeCell ref="A18:C18"/>
    <mergeCell ref="A19:C19"/>
    <mergeCell ref="A17:C17"/>
    <mergeCell ref="O51:O52"/>
    <mergeCell ref="Q12:R12"/>
    <mergeCell ref="R13:T13"/>
    <mergeCell ref="D48:E48"/>
    <mergeCell ref="G48:H48"/>
    <mergeCell ref="J48:K48"/>
    <mergeCell ref="M48:N48"/>
    <mergeCell ref="K51:K52"/>
    <mergeCell ref="L51:L52"/>
    <mergeCell ref="M51:M52"/>
    <mergeCell ref="N51:N52"/>
    <mergeCell ref="G51:G52"/>
    <mergeCell ref="H51:H52"/>
    <mergeCell ref="I51:I52"/>
    <mergeCell ref="J51:J52"/>
    <mergeCell ref="C44:E44"/>
    <mergeCell ref="D51:D52"/>
    <mergeCell ref="E51:E52"/>
    <mergeCell ref="F51:F52"/>
    <mergeCell ref="M10:M11"/>
    <mergeCell ref="N10:N11"/>
    <mergeCell ref="O10:O11"/>
    <mergeCell ref="C42:O42"/>
    <mergeCell ref="J10:J11"/>
    <mergeCell ref="K10:K11"/>
    <mergeCell ref="L10:L11"/>
    <mergeCell ref="A22:B23"/>
    <mergeCell ref="A26:O26"/>
    <mergeCell ref="A27:O41"/>
    <mergeCell ref="C1:O1"/>
    <mergeCell ref="D10:D11"/>
    <mergeCell ref="E10:E11"/>
    <mergeCell ref="F10:F11"/>
    <mergeCell ref="G10:G11"/>
    <mergeCell ref="H10:H11"/>
    <mergeCell ref="I10:I11"/>
    <mergeCell ref="D7:E7"/>
    <mergeCell ref="G7:H7"/>
    <mergeCell ref="J7:K7"/>
    <mergeCell ref="M7:N7"/>
    <mergeCell ref="C3:E3"/>
    <mergeCell ref="H3:I3"/>
    <mergeCell ref="L3:N3"/>
    <mergeCell ref="D5:O5"/>
    <mergeCell ref="M6:N6"/>
    <mergeCell ref="D6:E6"/>
    <mergeCell ref="G6:H6"/>
    <mergeCell ref="J6:K6"/>
    <mergeCell ref="Q11:T11"/>
    <mergeCell ref="D46:O46"/>
    <mergeCell ref="D47:E47"/>
    <mergeCell ref="G47:H47"/>
    <mergeCell ref="J47:K47"/>
    <mergeCell ref="M47:N47"/>
    <mergeCell ref="A25:D25"/>
    <mergeCell ref="E25:O25"/>
    <mergeCell ref="G44:H44"/>
    <mergeCell ref="K44:M44"/>
    <mergeCell ref="A58:C58"/>
    <mergeCell ref="A59:C59"/>
    <mergeCell ref="A60:C60"/>
    <mergeCell ref="A53:C53"/>
    <mergeCell ref="A54:C54"/>
    <mergeCell ref="A55:C55"/>
    <mergeCell ref="A56:C56"/>
    <mergeCell ref="T7:T8"/>
    <mergeCell ref="E66:O66"/>
    <mergeCell ref="A67:O67"/>
    <mergeCell ref="A68:O82"/>
    <mergeCell ref="Q9:S9"/>
    <mergeCell ref="Q7:Q8"/>
    <mergeCell ref="R7:R8"/>
    <mergeCell ref="S7:S8"/>
    <mergeCell ref="A63:B64"/>
    <mergeCell ref="A57:C57"/>
  </mergeCells>
  <dataValidations count="1">
    <dataValidation type="list" allowBlank="1" showInputMessage="1" showErrorMessage="1" sqref="M6:N6 G6:H6 J6:K6 D6 M47:N47 G47:H47 J47:K47 D47">
      <formula1>$AA$27:$AA$60</formula1>
    </dataValidation>
  </dataValidations>
  <printOptions horizontalCentered="1"/>
  <pageMargins left="0.6" right="0.6" top="0.9" bottom="0.9" header="0.5" footer="0.5"/>
  <pageSetup horizontalDpi="300" verticalDpi="300" orientation="portrait" r:id="rId3"/>
  <headerFooter alignWithMargins="0">
    <oddHeader>&amp;C&amp;"Times New Roman,Bold"&amp;12USDA NATURAL RESOURCES CONSERVATION SERVICE</oddHeader>
  </headerFooter>
  <rowBreaks count="1" manualBreakCount="1">
    <brk id="41" max="13" man="1"/>
  </rowBreaks>
  <legacyDrawing r:id="rId2"/>
</worksheet>
</file>

<file path=xl/worksheets/sheet6.xml><?xml version="1.0" encoding="utf-8"?>
<worksheet xmlns="http://schemas.openxmlformats.org/spreadsheetml/2006/main" xmlns:r="http://schemas.openxmlformats.org/officeDocument/2006/relationships">
  <dimension ref="A1:J60"/>
  <sheetViews>
    <sheetView zoomScale="75" zoomScaleNormal="75" workbookViewId="0" topLeftCell="A1">
      <selection activeCell="A4" sqref="A4"/>
    </sheetView>
  </sheetViews>
  <sheetFormatPr defaultColWidth="9.140625" defaultRowHeight="12.75"/>
  <cols>
    <col min="1" max="1" width="16.7109375" style="0" customWidth="1"/>
    <col min="2" max="7" width="10.7109375" style="0" customWidth="1"/>
  </cols>
  <sheetData>
    <row r="1" spans="1:10" ht="15.75">
      <c r="A1" s="264" t="s">
        <v>12</v>
      </c>
      <c r="B1" s="267" t="s">
        <v>301</v>
      </c>
      <c r="C1" s="268"/>
      <c r="D1" s="268"/>
      <c r="E1" s="268"/>
      <c r="F1" s="268"/>
      <c r="G1" s="269"/>
      <c r="H1" s="274"/>
      <c r="I1" s="274"/>
      <c r="J1" s="274"/>
    </row>
    <row r="2" spans="1:10" ht="15.75">
      <c r="A2" s="265" t="s">
        <v>15</v>
      </c>
      <c r="B2" s="264" t="s">
        <v>16</v>
      </c>
      <c r="C2" s="264" t="s">
        <v>40</v>
      </c>
      <c r="D2" s="264" t="s">
        <v>41</v>
      </c>
      <c r="E2" s="264" t="s">
        <v>19</v>
      </c>
      <c r="F2" s="271" t="s">
        <v>89</v>
      </c>
      <c r="G2" s="271" t="s">
        <v>90</v>
      </c>
      <c r="H2" s="274"/>
      <c r="I2" s="274"/>
      <c r="J2" s="274"/>
    </row>
    <row r="3" spans="1:10" ht="15.75">
      <c r="A3" s="266" t="s">
        <v>20</v>
      </c>
      <c r="B3" s="266" t="s">
        <v>25</v>
      </c>
      <c r="C3" s="266" t="s">
        <v>25</v>
      </c>
      <c r="D3" s="266" t="s">
        <v>25</v>
      </c>
      <c r="E3" s="270" t="s">
        <v>26</v>
      </c>
      <c r="F3" s="272" t="s">
        <v>25</v>
      </c>
      <c r="G3" s="272" t="s">
        <v>91</v>
      </c>
      <c r="H3" s="274"/>
      <c r="I3" s="274"/>
      <c r="J3" s="274"/>
    </row>
    <row r="4" spans="1:10" ht="15.75">
      <c r="A4" s="358">
        <v>0</v>
      </c>
      <c r="B4" s="359"/>
      <c r="C4" s="359"/>
      <c r="D4" s="359"/>
      <c r="E4" s="359"/>
      <c r="F4" s="360"/>
      <c r="G4" s="361"/>
      <c r="H4" s="274"/>
      <c r="I4" s="274"/>
      <c r="J4" s="274"/>
    </row>
    <row r="5" spans="1:10" ht="15.75">
      <c r="A5" s="253" t="s">
        <v>31</v>
      </c>
      <c r="B5" s="260">
        <v>0.33</v>
      </c>
      <c r="C5" s="260">
        <v>0.27</v>
      </c>
      <c r="D5" s="260">
        <v>0.31</v>
      </c>
      <c r="E5" s="260">
        <v>1.02</v>
      </c>
      <c r="F5" s="275">
        <v>63</v>
      </c>
      <c r="G5" s="276">
        <v>88.4</v>
      </c>
      <c r="H5" s="274"/>
      <c r="I5" s="274"/>
      <c r="J5" s="274"/>
    </row>
    <row r="6" spans="1:10" ht="15.75">
      <c r="A6" s="253" t="s">
        <v>472</v>
      </c>
      <c r="B6" s="260">
        <v>0.31</v>
      </c>
      <c r="C6" s="260">
        <v>0.25</v>
      </c>
      <c r="D6" s="260">
        <v>0.29</v>
      </c>
      <c r="E6" s="260">
        <v>0.95</v>
      </c>
      <c r="F6" s="275">
        <v>59</v>
      </c>
      <c r="G6" s="276">
        <v>88</v>
      </c>
      <c r="H6" s="274"/>
      <c r="I6" s="274"/>
      <c r="J6" s="274"/>
    </row>
    <row r="7" spans="1:10" ht="15.75">
      <c r="A7" s="253" t="s">
        <v>32</v>
      </c>
      <c r="B7" s="260">
        <v>0.3</v>
      </c>
      <c r="C7" s="260">
        <v>0.23</v>
      </c>
      <c r="D7" s="260">
        <v>0.24</v>
      </c>
      <c r="E7" s="260">
        <v>0.89</v>
      </c>
      <c r="F7" s="275">
        <v>55</v>
      </c>
      <c r="G7" s="276">
        <v>87</v>
      </c>
      <c r="H7" s="274"/>
      <c r="I7" s="274"/>
      <c r="J7" s="274"/>
    </row>
    <row r="8" spans="1:10" ht="15.75">
      <c r="A8" s="253" t="s">
        <v>29</v>
      </c>
      <c r="B8" s="260">
        <v>0.36</v>
      </c>
      <c r="C8" s="260">
        <v>0.11</v>
      </c>
      <c r="D8" s="260">
        <v>0.28</v>
      </c>
      <c r="E8" s="260">
        <v>1.32</v>
      </c>
      <c r="F8" s="275">
        <v>82</v>
      </c>
      <c r="G8" s="276">
        <v>88.4</v>
      </c>
      <c r="H8" s="274"/>
      <c r="I8" s="274"/>
      <c r="J8" s="274"/>
    </row>
    <row r="9" spans="1:10" ht="15.75">
      <c r="A9" s="253" t="s">
        <v>28</v>
      </c>
      <c r="B9" s="260">
        <v>0.45</v>
      </c>
      <c r="C9" s="260">
        <v>0.16</v>
      </c>
      <c r="D9" s="260">
        <v>0.31</v>
      </c>
      <c r="E9" s="260">
        <v>1.29</v>
      </c>
      <c r="F9" s="275">
        <v>80</v>
      </c>
      <c r="G9" s="276">
        <v>87.5</v>
      </c>
      <c r="H9" s="274"/>
      <c r="I9" s="274"/>
      <c r="J9" s="274"/>
    </row>
    <row r="10" spans="1:10" ht="15.75">
      <c r="A10" s="253" t="s">
        <v>92</v>
      </c>
      <c r="B10" s="260">
        <v>0.7</v>
      </c>
      <c r="C10" s="260">
        <v>0.69</v>
      </c>
      <c r="D10" s="260">
        <v>0.6</v>
      </c>
      <c r="E10" s="260">
        <v>0.73</v>
      </c>
      <c r="F10" s="275">
        <v>46</v>
      </c>
      <c r="G10" s="276">
        <v>75</v>
      </c>
      <c r="H10" s="274"/>
      <c r="I10" s="274"/>
      <c r="J10" s="274"/>
    </row>
    <row r="11" spans="1:10" ht="15.75">
      <c r="A11" s="253" t="s">
        <v>93</v>
      </c>
      <c r="B11" s="260">
        <v>0.45</v>
      </c>
      <c r="C11" s="260">
        <v>0.11</v>
      </c>
      <c r="D11" s="260">
        <v>0.31</v>
      </c>
      <c r="E11" s="260">
        <v>0.63</v>
      </c>
      <c r="F11" s="275">
        <v>40</v>
      </c>
      <c r="G11" s="276">
        <v>75</v>
      </c>
      <c r="H11" s="274"/>
      <c r="I11" s="274"/>
      <c r="J11" s="274"/>
    </row>
    <row r="12" spans="1:10" ht="15.75">
      <c r="A12" s="253" t="s">
        <v>30</v>
      </c>
      <c r="B12" s="260">
        <v>0.31</v>
      </c>
      <c r="C12" s="260">
        <v>0.09</v>
      </c>
      <c r="D12" s="260">
        <v>0.29</v>
      </c>
      <c r="E12" s="260">
        <v>1.37</v>
      </c>
      <c r="F12" s="275">
        <v>85</v>
      </c>
      <c r="G12" s="276">
        <v>89.3</v>
      </c>
      <c r="H12" s="274"/>
      <c r="I12" s="274"/>
      <c r="J12" s="274"/>
    </row>
    <row r="13" spans="1:10" ht="15.75">
      <c r="A13" s="253" t="s">
        <v>33</v>
      </c>
      <c r="B13" s="260">
        <v>0.28</v>
      </c>
      <c r="C13" s="260">
        <v>0.11</v>
      </c>
      <c r="D13" s="260">
        <v>0.23</v>
      </c>
      <c r="E13" s="260">
        <v>0.81</v>
      </c>
      <c r="F13" s="275">
        <v>50</v>
      </c>
      <c r="G13" s="276">
        <v>78</v>
      </c>
      <c r="H13" s="274"/>
      <c r="I13" s="274"/>
      <c r="J13" s="274"/>
    </row>
    <row r="14" spans="1:10" ht="15.75">
      <c r="A14" s="253" t="s">
        <v>94</v>
      </c>
      <c r="B14" s="260">
        <v>0.83</v>
      </c>
      <c r="C14" s="260">
        <v>0.71</v>
      </c>
      <c r="D14" s="260">
        <v>0.41</v>
      </c>
      <c r="E14" s="260">
        <v>0.96</v>
      </c>
      <c r="F14" s="275">
        <v>61</v>
      </c>
      <c r="G14" s="276">
        <v>75</v>
      </c>
      <c r="H14" s="274"/>
      <c r="I14" s="274"/>
      <c r="J14" s="274"/>
    </row>
    <row r="15" spans="1:10" ht="15.75">
      <c r="A15" s="253" t="s">
        <v>95</v>
      </c>
      <c r="B15" s="260">
        <v>0.62</v>
      </c>
      <c r="C15" s="260">
        <v>0.55</v>
      </c>
      <c r="D15" s="260">
        <v>0.31</v>
      </c>
      <c r="E15" s="260">
        <v>0.73</v>
      </c>
      <c r="F15" s="275">
        <v>46</v>
      </c>
      <c r="G15" s="276">
        <v>75</v>
      </c>
      <c r="H15" s="274"/>
      <c r="I15" s="274"/>
      <c r="J15" s="274"/>
    </row>
    <row r="16" spans="1:10" ht="15.75">
      <c r="A16" s="253" t="s">
        <v>96</v>
      </c>
      <c r="B16" s="260">
        <v>0.45</v>
      </c>
      <c r="C16" s="260">
        <v>0.16</v>
      </c>
      <c r="D16" s="260">
        <v>0.36</v>
      </c>
      <c r="E16" s="260">
        <v>0.63</v>
      </c>
      <c r="F16" s="275">
        <v>40</v>
      </c>
      <c r="G16" s="276">
        <v>75</v>
      </c>
      <c r="H16" s="274"/>
      <c r="I16" s="274"/>
      <c r="J16" s="274"/>
    </row>
    <row r="17" spans="1:10" ht="15.75">
      <c r="A17" s="253" t="s">
        <v>97</v>
      </c>
      <c r="B17" s="260">
        <v>0.15</v>
      </c>
      <c r="C17" s="260">
        <v>0.11</v>
      </c>
      <c r="D17" s="260">
        <v>0.12</v>
      </c>
      <c r="E17" s="260">
        <v>0.34</v>
      </c>
      <c r="F17" s="275">
        <v>21</v>
      </c>
      <c r="G17" s="276">
        <v>90.7</v>
      </c>
      <c r="H17" s="274"/>
      <c r="I17" s="274"/>
      <c r="J17" s="274"/>
    </row>
    <row r="18" spans="1:10" ht="15.75">
      <c r="A18" s="253" t="s">
        <v>98</v>
      </c>
      <c r="B18" s="260">
        <v>0.19</v>
      </c>
      <c r="C18" s="260">
        <v>0.14</v>
      </c>
      <c r="D18" s="260">
        <v>0.15</v>
      </c>
      <c r="E18" s="260">
        <v>0.44</v>
      </c>
      <c r="F18" s="275">
        <v>27</v>
      </c>
      <c r="G18" s="276">
        <v>90.8</v>
      </c>
      <c r="H18" s="274"/>
      <c r="I18" s="274"/>
      <c r="J18" s="274"/>
    </row>
    <row r="19" spans="1:10" ht="15.75">
      <c r="A19" s="253" t="s">
        <v>99</v>
      </c>
      <c r="B19" s="260">
        <v>0.42</v>
      </c>
      <c r="C19" s="260">
        <v>0.37</v>
      </c>
      <c r="D19" s="260">
        <v>0.27</v>
      </c>
      <c r="E19" s="260">
        <v>1.02</v>
      </c>
      <c r="F19" s="275">
        <v>63</v>
      </c>
      <c r="G19" s="276">
        <v>90</v>
      </c>
      <c r="H19" s="274"/>
      <c r="I19" s="274"/>
      <c r="J19" s="274"/>
    </row>
    <row r="20" spans="1:10" ht="15.75">
      <c r="A20" s="253" t="s">
        <v>100</v>
      </c>
      <c r="B20" s="260">
        <v>0.47</v>
      </c>
      <c r="C20" s="260">
        <v>0.34</v>
      </c>
      <c r="D20" s="260">
        <v>0.36</v>
      </c>
      <c r="E20" s="260">
        <v>0.96</v>
      </c>
      <c r="F20" s="275">
        <v>60</v>
      </c>
      <c r="G20" s="276">
        <v>90</v>
      </c>
      <c r="H20" s="274"/>
      <c r="I20" s="274"/>
      <c r="J20" s="274"/>
    </row>
    <row r="21" spans="1:10" ht="15.75">
      <c r="A21" s="253" t="s">
        <v>101</v>
      </c>
      <c r="B21" s="260">
        <v>0.6</v>
      </c>
      <c r="C21" s="260">
        <v>0.57</v>
      </c>
      <c r="D21" s="260">
        <v>0.42</v>
      </c>
      <c r="E21" s="260">
        <v>1.7</v>
      </c>
      <c r="F21" s="275">
        <v>106</v>
      </c>
      <c r="G21" s="276">
        <v>90</v>
      </c>
      <c r="H21" s="274"/>
      <c r="I21" s="274"/>
      <c r="J21" s="274"/>
    </row>
    <row r="22" spans="1:10" ht="15.75">
      <c r="A22" s="253" t="s">
        <v>102</v>
      </c>
      <c r="B22" s="260">
        <v>0.88</v>
      </c>
      <c r="C22" s="260">
        <v>0.92</v>
      </c>
      <c r="D22" s="260">
        <v>0.54</v>
      </c>
      <c r="E22" s="260">
        <v>0.38</v>
      </c>
      <c r="F22" s="275">
        <v>24</v>
      </c>
      <c r="G22" s="276">
        <v>34</v>
      </c>
      <c r="H22" s="274"/>
      <c r="I22" s="274"/>
      <c r="J22" s="274"/>
    </row>
    <row r="23" spans="1:10" ht="15.75">
      <c r="A23" s="253" t="s">
        <v>103</v>
      </c>
      <c r="B23" s="260">
        <v>0.74</v>
      </c>
      <c r="C23" s="260">
        <v>0.64</v>
      </c>
      <c r="D23" s="260">
        <v>0.34</v>
      </c>
      <c r="E23" s="260">
        <v>0.69</v>
      </c>
      <c r="F23" s="275">
        <v>44</v>
      </c>
      <c r="G23" s="276">
        <v>75</v>
      </c>
      <c r="H23" s="274"/>
      <c r="I23" s="274"/>
      <c r="J23" s="274"/>
    </row>
    <row r="24" spans="1:10" ht="12.75" customHeight="1">
      <c r="A24" s="111" t="s">
        <v>4</v>
      </c>
      <c r="B24" s="277" t="s">
        <v>4</v>
      </c>
      <c r="C24" s="277" t="s">
        <v>4</v>
      </c>
      <c r="D24" s="277" t="s">
        <v>4</v>
      </c>
      <c r="E24" s="277"/>
      <c r="F24" s="278" t="s">
        <v>4</v>
      </c>
      <c r="G24" s="278" t="s">
        <v>4</v>
      </c>
      <c r="H24" s="274"/>
      <c r="I24" s="274"/>
      <c r="J24" s="274"/>
    </row>
    <row r="25" spans="1:10" ht="12.75">
      <c r="A25" s="279" t="s">
        <v>104</v>
      </c>
      <c r="B25" s="279"/>
      <c r="C25" s="279"/>
      <c r="D25" s="280"/>
      <c r="E25" s="280"/>
      <c r="F25" s="262"/>
      <c r="G25" s="262"/>
      <c r="H25" s="274"/>
      <c r="I25" s="274"/>
      <c r="J25" s="274"/>
    </row>
    <row r="26" spans="1:10" ht="12.75">
      <c r="A26" s="279"/>
      <c r="B26" s="279"/>
      <c r="C26" s="279"/>
      <c r="D26" s="279"/>
      <c r="E26" s="279"/>
      <c r="F26" s="279"/>
      <c r="G26" s="274"/>
      <c r="H26" s="274"/>
      <c r="I26" s="274"/>
      <c r="J26" s="274"/>
    </row>
    <row r="27" spans="1:10" ht="15.75">
      <c r="A27" s="198" t="s">
        <v>105</v>
      </c>
      <c r="B27" s="111"/>
      <c r="C27" s="111"/>
      <c r="D27" s="111"/>
      <c r="E27" s="111"/>
      <c r="F27" s="279"/>
      <c r="G27" s="274"/>
      <c r="H27" s="274"/>
      <c r="I27" s="274"/>
      <c r="J27" s="274"/>
    </row>
    <row r="28" spans="1:10" ht="15.75">
      <c r="A28" s="111"/>
      <c r="B28" s="111"/>
      <c r="C28" s="111"/>
      <c r="D28" s="111"/>
      <c r="E28" s="111"/>
      <c r="F28" s="279"/>
      <c r="G28" s="274"/>
      <c r="H28" s="274"/>
      <c r="I28" s="274"/>
      <c r="J28" s="274"/>
    </row>
    <row r="29" spans="1:10" ht="15.75">
      <c r="A29" s="111" t="s">
        <v>4</v>
      </c>
      <c r="B29" s="111"/>
      <c r="C29" s="283"/>
      <c r="D29" s="281" t="s">
        <v>106</v>
      </c>
      <c r="E29" s="283"/>
      <c r="F29" s="282"/>
      <c r="G29" s="274"/>
      <c r="H29" s="274"/>
      <c r="I29" s="274"/>
      <c r="J29" s="274"/>
    </row>
    <row r="30" spans="1:10" ht="15.75">
      <c r="A30" s="198" t="s">
        <v>107</v>
      </c>
      <c r="B30" s="111"/>
      <c r="C30" s="261" t="s">
        <v>108</v>
      </c>
      <c r="D30" s="261" t="s">
        <v>109</v>
      </c>
      <c r="E30" s="261" t="s">
        <v>110</v>
      </c>
      <c r="F30" s="279"/>
      <c r="G30" s="274"/>
      <c r="H30" s="274"/>
      <c r="I30" s="274"/>
      <c r="J30" s="274"/>
    </row>
    <row r="31" spans="1:10" ht="15.75">
      <c r="A31" s="111"/>
      <c r="B31" s="111"/>
      <c r="C31" s="198"/>
      <c r="D31" s="261" t="s">
        <v>111</v>
      </c>
      <c r="E31" s="198"/>
      <c r="F31" s="279"/>
      <c r="G31" s="274"/>
      <c r="H31" s="274"/>
      <c r="I31" s="274"/>
      <c r="J31" s="274"/>
    </row>
    <row r="32" spans="1:10" ht="15.75">
      <c r="A32" s="253" t="s">
        <v>112</v>
      </c>
      <c r="B32" s="253"/>
      <c r="C32" s="273">
        <v>5.4</v>
      </c>
      <c r="D32" s="273" t="s">
        <v>4</v>
      </c>
      <c r="E32" s="273">
        <v>9.3</v>
      </c>
      <c r="F32" s="279"/>
      <c r="G32" s="274"/>
      <c r="H32" s="274"/>
      <c r="I32" s="274"/>
      <c r="J32" s="274"/>
    </row>
    <row r="33" spans="1:10" ht="15.75">
      <c r="A33" s="253" t="s">
        <v>113</v>
      </c>
      <c r="B33" s="253"/>
      <c r="C33" s="273">
        <v>5.7</v>
      </c>
      <c r="D33" s="273">
        <v>2.7</v>
      </c>
      <c r="E33" s="273">
        <v>11</v>
      </c>
      <c r="F33" s="279"/>
      <c r="G33" s="274"/>
      <c r="H33" s="274"/>
      <c r="I33" s="274"/>
      <c r="J33" s="274"/>
    </row>
    <row r="34" spans="1:10" ht="15.75">
      <c r="A34" s="253" t="s">
        <v>114</v>
      </c>
      <c r="B34" s="253"/>
      <c r="C34" s="273"/>
      <c r="D34" s="273">
        <v>3.1</v>
      </c>
      <c r="E34" s="273"/>
      <c r="F34" s="279"/>
      <c r="G34" s="274"/>
      <c r="H34" s="274"/>
      <c r="I34" s="274"/>
      <c r="J34" s="274"/>
    </row>
    <row r="35" spans="1:10" ht="15.75" customHeight="1">
      <c r="A35" s="253" t="s">
        <v>115</v>
      </c>
      <c r="B35" s="253"/>
      <c r="C35" s="273"/>
      <c r="D35" s="273">
        <v>1.5</v>
      </c>
      <c r="E35" s="273"/>
      <c r="F35" s="279"/>
      <c r="G35" s="274"/>
      <c r="H35" s="274"/>
      <c r="I35" s="274"/>
      <c r="J35" s="274"/>
    </row>
    <row r="36" spans="1:10" ht="12.75" customHeight="1">
      <c r="A36" s="111"/>
      <c r="B36" s="111"/>
      <c r="C36" s="111"/>
      <c r="D36" s="111"/>
      <c r="E36" s="111"/>
      <c r="F36" s="279"/>
      <c r="G36" s="274"/>
      <c r="H36" s="274"/>
      <c r="I36" s="274"/>
      <c r="J36" s="274"/>
    </row>
    <row r="37" spans="1:10" ht="15.75">
      <c r="A37" s="279" t="s">
        <v>116</v>
      </c>
      <c r="B37" s="279"/>
      <c r="C37" s="279"/>
      <c r="D37" s="111"/>
      <c r="E37" s="111"/>
      <c r="F37" s="279"/>
      <c r="G37" s="274"/>
      <c r="H37" s="274"/>
      <c r="I37" s="274"/>
      <c r="J37" s="274"/>
    </row>
    <row r="38" spans="1:10" ht="12.75" customHeight="1">
      <c r="A38" s="279" t="s">
        <v>4</v>
      </c>
      <c r="B38" s="111"/>
      <c r="C38" s="111"/>
      <c r="D38" s="111"/>
      <c r="E38" s="111"/>
      <c r="F38" s="279"/>
      <c r="G38" s="274"/>
      <c r="H38" s="274"/>
      <c r="I38" s="274"/>
      <c r="J38" s="274"/>
    </row>
    <row r="39" spans="1:10" ht="15.75">
      <c r="A39" s="279"/>
      <c r="B39" s="279"/>
      <c r="C39" s="279"/>
      <c r="D39" s="111"/>
      <c r="E39" s="261" t="s">
        <v>117</v>
      </c>
      <c r="F39" s="263" t="s">
        <v>118</v>
      </c>
      <c r="G39" s="274"/>
      <c r="H39" s="274"/>
      <c r="I39" s="274"/>
      <c r="J39" s="274"/>
    </row>
    <row r="40" spans="1:10" ht="15.75">
      <c r="A40" s="283" t="s">
        <v>119</v>
      </c>
      <c r="B40" s="284"/>
      <c r="C40" s="284"/>
      <c r="D40" s="281" t="s">
        <v>120</v>
      </c>
      <c r="E40" s="261" t="s">
        <v>120</v>
      </c>
      <c r="F40" s="263" t="s">
        <v>90</v>
      </c>
      <c r="G40" s="274"/>
      <c r="H40" s="274"/>
      <c r="I40" s="274"/>
      <c r="J40" s="274"/>
    </row>
    <row r="41" spans="1:10" ht="12" customHeight="1">
      <c r="A41" s="274"/>
      <c r="B41" s="274"/>
      <c r="C41" s="274"/>
      <c r="D41" s="274"/>
      <c r="E41" s="274"/>
      <c r="F41" s="274"/>
      <c r="G41" s="274"/>
      <c r="H41" s="274"/>
      <c r="I41" s="274"/>
      <c r="J41" s="274"/>
    </row>
    <row r="42" spans="1:10" ht="15.75">
      <c r="A42" s="366" t="s">
        <v>203</v>
      </c>
      <c r="B42" s="367"/>
      <c r="C42" s="253"/>
      <c r="D42" s="273">
        <v>30</v>
      </c>
      <c r="E42" s="273">
        <v>15</v>
      </c>
      <c r="F42" s="287" t="s">
        <v>298</v>
      </c>
      <c r="G42" s="274"/>
      <c r="H42" s="274"/>
      <c r="I42" s="274"/>
      <c r="J42" s="274"/>
    </row>
    <row r="43" spans="1:10" ht="15.75">
      <c r="A43" s="285" t="s">
        <v>121</v>
      </c>
      <c r="B43" s="286"/>
      <c r="C43" s="253"/>
      <c r="D43" s="273">
        <v>4.5</v>
      </c>
      <c r="E43" s="273">
        <v>11.25</v>
      </c>
      <c r="F43" s="287" t="s">
        <v>122</v>
      </c>
      <c r="G43" s="274"/>
      <c r="H43" s="274"/>
      <c r="I43" s="274"/>
      <c r="J43" s="274"/>
    </row>
    <row r="44" spans="1:10" ht="15.75">
      <c r="A44" s="253" t="s">
        <v>123</v>
      </c>
      <c r="B44" s="253"/>
      <c r="C44" s="253"/>
      <c r="D44" s="273">
        <v>6.5</v>
      </c>
      <c r="E44" s="273">
        <v>13</v>
      </c>
      <c r="F44" s="287" t="s">
        <v>124</v>
      </c>
      <c r="G44" s="274"/>
      <c r="H44" s="274"/>
      <c r="I44" s="274"/>
      <c r="J44" s="274"/>
    </row>
    <row r="45" spans="1:10" ht="15.75">
      <c r="A45" s="253" t="s">
        <v>125</v>
      </c>
      <c r="B45" s="685"/>
      <c r="C45" s="253" t="s">
        <v>4</v>
      </c>
      <c r="D45" s="273">
        <v>4.25</v>
      </c>
      <c r="E45" s="273">
        <v>8.5</v>
      </c>
      <c r="F45" s="287" t="s">
        <v>124</v>
      </c>
      <c r="G45" s="274"/>
      <c r="H45" s="274"/>
      <c r="I45" s="274"/>
      <c r="J45" s="274"/>
    </row>
    <row r="46" spans="1:10" ht="15.75">
      <c r="A46" s="288" t="s">
        <v>481</v>
      </c>
      <c r="B46" s="686"/>
      <c r="C46" s="253"/>
      <c r="D46" s="273"/>
      <c r="E46" s="273">
        <v>0</v>
      </c>
      <c r="F46" s="287"/>
      <c r="G46" s="274"/>
      <c r="H46" s="274"/>
      <c r="I46" s="274"/>
      <c r="J46" s="274"/>
    </row>
    <row r="47" spans="1:10" ht="15.75">
      <c r="A47" s="253" t="s">
        <v>126</v>
      </c>
      <c r="B47" s="199"/>
      <c r="C47" s="253"/>
      <c r="D47" s="273">
        <v>6</v>
      </c>
      <c r="E47" s="273">
        <v>12</v>
      </c>
      <c r="F47" s="287" t="s">
        <v>124</v>
      </c>
      <c r="G47" s="274"/>
      <c r="H47" s="274"/>
      <c r="I47" s="274"/>
      <c r="J47" s="274"/>
    </row>
    <row r="48" spans="1:10" ht="15.75">
      <c r="A48" s="253" t="s">
        <v>127</v>
      </c>
      <c r="B48" s="253"/>
      <c r="C48" s="253"/>
      <c r="D48" s="273">
        <v>4</v>
      </c>
      <c r="E48" s="273">
        <v>8</v>
      </c>
      <c r="F48" s="287" t="s">
        <v>124</v>
      </c>
      <c r="G48" s="274"/>
      <c r="H48" s="274"/>
      <c r="I48" s="274"/>
      <c r="J48" s="274"/>
    </row>
    <row r="49" spans="1:10" ht="15.75">
      <c r="A49" s="288" t="s">
        <v>128</v>
      </c>
      <c r="B49" s="289"/>
      <c r="C49" s="253"/>
      <c r="D49" s="273">
        <v>105</v>
      </c>
      <c r="E49" s="273">
        <v>105</v>
      </c>
      <c r="F49" s="287" t="s">
        <v>129</v>
      </c>
      <c r="G49" s="274"/>
      <c r="H49" s="274"/>
      <c r="I49" s="274"/>
      <c r="J49" s="274"/>
    </row>
    <row r="50" spans="1:10" ht="15.75">
      <c r="A50" s="288" t="s">
        <v>130</v>
      </c>
      <c r="B50" s="289"/>
      <c r="C50" s="289"/>
      <c r="D50" s="273">
        <v>10.5</v>
      </c>
      <c r="E50" s="273">
        <v>15.75</v>
      </c>
      <c r="F50" s="287" t="s">
        <v>122</v>
      </c>
      <c r="G50" s="274"/>
      <c r="H50" s="274"/>
      <c r="I50" s="274"/>
      <c r="J50" s="274"/>
    </row>
    <row r="51" spans="1:10" ht="15.75">
      <c r="A51" s="288" t="s">
        <v>131</v>
      </c>
      <c r="B51" s="289"/>
      <c r="C51" s="253"/>
      <c r="D51" s="273">
        <v>75</v>
      </c>
      <c r="E51" s="273">
        <v>75</v>
      </c>
      <c r="F51" s="287" t="s">
        <v>132</v>
      </c>
      <c r="G51" s="274"/>
      <c r="H51" s="274"/>
      <c r="I51" s="274"/>
      <c r="J51" s="274"/>
    </row>
    <row r="52" spans="1:10" ht="15.75">
      <c r="A52" s="288" t="s">
        <v>133</v>
      </c>
      <c r="B52" s="289"/>
      <c r="C52" s="253"/>
      <c r="D52" s="273">
        <v>4.5</v>
      </c>
      <c r="E52" s="273">
        <v>9</v>
      </c>
      <c r="F52" s="287" t="s">
        <v>134</v>
      </c>
      <c r="G52" s="274"/>
      <c r="H52" s="274"/>
      <c r="I52" s="274"/>
      <c r="J52" s="274"/>
    </row>
    <row r="53" spans="1:10" ht="15.75">
      <c r="A53" s="288" t="s">
        <v>135</v>
      </c>
      <c r="B53" s="289"/>
      <c r="C53" s="253"/>
      <c r="D53" s="273">
        <v>7</v>
      </c>
      <c r="E53" s="273">
        <v>14</v>
      </c>
      <c r="F53" s="287" t="s">
        <v>134</v>
      </c>
      <c r="G53" s="274"/>
      <c r="H53" s="274"/>
      <c r="I53" s="274"/>
      <c r="J53" s="274"/>
    </row>
    <row r="54" spans="1:10" ht="15.75">
      <c r="A54" s="288" t="s">
        <v>37</v>
      </c>
      <c r="B54" s="289"/>
      <c r="C54" s="253"/>
      <c r="D54" s="273">
        <v>2.5</v>
      </c>
      <c r="E54" s="273">
        <v>5</v>
      </c>
      <c r="F54" s="287" t="s">
        <v>134</v>
      </c>
      <c r="G54" s="274"/>
      <c r="H54" s="274"/>
      <c r="I54" s="274"/>
      <c r="J54" s="274"/>
    </row>
    <row r="55" spans="1:10" ht="15.75">
      <c r="A55" s="288" t="s">
        <v>136</v>
      </c>
      <c r="B55" s="289"/>
      <c r="C55" s="253"/>
      <c r="D55" s="273">
        <v>7.5</v>
      </c>
      <c r="E55" s="273">
        <v>18.75</v>
      </c>
      <c r="F55" s="287" t="s">
        <v>134</v>
      </c>
      <c r="G55" s="274"/>
      <c r="H55" s="274"/>
      <c r="I55" s="274"/>
      <c r="J55" s="274"/>
    </row>
    <row r="56" spans="1:10" ht="15.75">
      <c r="A56" s="253" t="s">
        <v>137</v>
      </c>
      <c r="B56" s="253"/>
      <c r="C56" s="253"/>
      <c r="D56" s="273">
        <v>6</v>
      </c>
      <c r="E56" s="273">
        <v>13.2</v>
      </c>
      <c r="F56" s="287" t="s">
        <v>134</v>
      </c>
      <c r="G56" s="274"/>
      <c r="H56" s="274"/>
      <c r="I56" s="274"/>
      <c r="J56" s="274"/>
    </row>
    <row r="57" spans="1:10" ht="15.75">
      <c r="A57" s="253" t="s">
        <v>138</v>
      </c>
      <c r="B57" s="253"/>
      <c r="C57" s="253"/>
      <c r="D57" s="273">
        <v>9</v>
      </c>
      <c r="E57" s="273">
        <v>18</v>
      </c>
      <c r="F57" s="287" t="s">
        <v>122</v>
      </c>
      <c r="G57" s="274"/>
      <c r="H57" s="274"/>
      <c r="I57" s="274"/>
      <c r="J57" s="274"/>
    </row>
    <row r="58" spans="1:10" ht="12.75">
      <c r="A58" s="279"/>
      <c r="B58" s="279"/>
      <c r="C58" s="279"/>
      <c r="D58" s="279"/>
      <c r="E58" s="279"/>
      <c r="F58" s="262"/>
      <c r="G58" s="274"/>
      <c r="H58" s="274"/>
      <c r="I58" s="274"/>
      <c r="J58" s="274"/>
    </row>
    <row r="59" spans="1:10" ht="12.75">
      <c r="A59" s="279" t="s">
        <v>139</v>
      </c>
      <c r="B59" s="279"/>
      <c r="C59" s="279"/>
      <c r="D59" s="279" t="s">
        <v>140</v>
      </c>
      <c r="E59" s="279"/>
      <c r="F59" s="262"/>
      <c r="G59" s="274"/>
      <c r="H59" s="274"/>
      <c r="I59" s="274"/>
      <c r="J59" s="274"/>
    </row>
    <row r="60" spans="2:6" ht="12.75">
      <c r="B60" s="70"/>
      <c r="C60" s="70"/>
      <c r="D60" s="70"/>
      <c r="E60" s="70"/>
      <c r="F60" s="1"/>
    </row>
  </sheetData>
  <sheetProtection password="CCF0" sheet="1" objects="1" scenarios="1"/>
  <printOptions horizontalCentered="1" verticalCentered="1"/>
  <pageMargins left="1" right="0.5" top="0.5" bottom="0.5" header="0.5" footer="0.5"/>
  <pageSetup horizontalDpi="600" verticalDpi="600" orientation="portrait" scale="75" r:id="rId1"/>
  <headerFooter alignWithMargins="0">
    <oddHeader>&amp;C&amp;"Times New Roman,Bold"&amp;12USDA NATURAL RESOURCES CONSERVATION SERVICE</oddHeader>
  </headerFooter>
</worksheet>
</file>

<file path=xl/worksheets/sheet7.xml><?xml version="1.0" encoding="utf-8"?>
<worksheet xmlns="http://schemas.openxmlformats.org/spreadsheetml/2006/main" xmlns:r="http://schemas.openxmlformats.org/officeDocument/2006/relationships">
  <dimension ref="A1:J49"/>
  <sheetViews>
    <sheetView zoomScale="75" zoomScaleNormal="75" workbookViewId="0" topLeftCell="A1">
      <selection activeCell="A4" sqref="A4"/>
    </sheetView>
  </sheetViews>
  <sheetFormatPr defaultColWidth="9.140625" defaultRowHeight="12.75"/>
  <cols>
    <col min="1" max="1" width="17.7109375" style="0" customWidth="1"/>
    <col min="2" max="7" width="10.7109375" style="0" customWidth="1"/>
  </cols>
  <sheetData>
    <row r="1" spans="1:10" ht="15.75">
      <c r="A1" s="264" t="s">
        <v>12</v>
      </c>
      <c r="B1" s="560" t="s">
        <v>12</v>
      </c>
      <c r="C1" s="872" t="s">
        <v>312</v>
      </c>
      <c r="D1" s="872"/>
      <c r="E1" s="872"/>
      <c r="F1" s="872"/>
      <c r="G1" s="873"/>
      <c r="H1" s="274"/>
      <c r="I1" s="274"/>
      <c r="J1" s="274"/>
    </row>
    <row r="2" spans="1:10" ht="15.75">
      <c r="A2" s="265" t="s">
        <v>15</v>
      </c>
      <c r="B2" s="561" t="s">
        <v>15</v>
      </c>
      <c r="C2" s="383" t="s">
        <v>16</v>
      </c>
      <c r="D2" s="264" t="s">
        <v>40</v>
      </c>
      <c r="E2" s="383" t="s">
        <v>41</v>
      </c>
      <c r="F2" s="264" t="s">
        <v>19</v>
      </c>
      <c r="G2" s="384" t="s">
        <v>90</v>
      </c>
      <c r="H2" s="274"/>
      <c r="I2" s="274"/>
      <c r="J2" s="274"/>
    </row>
    <row r="3" spans="1:10" ht="15.75">
      <c r="A3" s="266" t="s">
        <v>313</v>
      </c>
      <c r="B3" s="562" t="s">
        <v>20</v>
      </c>
      <c r="C3" s="385" t="s">
        <v>314</v>
      </c>
      <c r="D3" s="266" t="s">
        <v>314</v>
      </c>
      <c r="E3" s="385" t="s">
        <v>315</v>
      </c>
      <c r="F3" s="270" t="s">
        <v>26</v>
      </c>
      <c r="G3" s="386" t="s">
        <v>91</v>
      </c>
      <c r="H3" s="274"/>
      <c r="I3" s="274"/>
      <c r="J3" s="274"/>
    </row>
    <row r="4" spans="1:10" ht="15.75">
      <c r="A4" s="368">
        <v>0</v>
      </c>
      <c r="B4" s="563"/>
      <c r="C4" s="387"/>
      <c r="D4" s="387"/>
      <c r="E4" s="387"/>
      <c r="F4" s="387"/>
      <c r="G4" s="387"/>
      <c r="H4" s="274"/>
      <c r="I4" s="274"/>
      <c r="J4" s="274"/>
    </row>
    <row r="5" spans="1:10" ht="15.75">
      <c r="A5" s="302" t="s">
        <v>320</v>
      </c>
      <c r="B5" s="563" t="s">
        <v>316</v>
      </c>
      <c r="C5" s="388">
        <v>0.17</v>
      </c>
      <c r="D5" s="388">
        <v>0.18</v>
      </c>
      <c r="E5" s="388" t="s">
        <v>4</v>
      </c>
      <c r="F5" s="388"/>
      <c r="G5" s="276">
        <v>99</v>
      </c>
      <c r="H5" s="274"/>
      <c r="I5" s="274"/>
      <c r="J5" s="274"/>
    </row>
    <row r="6" spans="1:10" ht="15.75">
      <c r="A6" s="302" t="s">
        <v>442</v>
      </c>
      <c r="B6" s="563" t="s">
        <v>316</v>
      </c>
      <c r="C6" s="388">
        <v>20.8</v>
      </c>
      <c r="D6" s="388">
        <v>20.96</v>
      </c>
      <c r="E6" s="388">
        <v>15.06</v>
      </c>
      <c r="F6" s="388"/>
      <c r="G6" s="276">
        <v>90</v>
      </c>
      <c r="H6" s="274"/>
      <c r="I6" s="274"/>
      <c r="J6" s="274"/>
    </row>
    <row r="7" spans="1:10" ht="15.75">
      <c r="A7" s="302" t="s">
        <v>443</v>
      </c>
      <c r="B7" s="563" t="s">
        <v>327</v>
      </c>
      <c r="C7" s="388">
        <v>25</v>
      </c>
      <c r="D7" s="388">
        <v>51.48</v>
      </c>
      <c r="E7" s="388">
        <v>76.29</v>
      </c>
      <c r="F7" s="275"/>
      <c r="G7" s="275">
        <v>92</v>
      </c>
      <c r="H7" s="274"/>
      <c r="I7" s="274"/>
      <c r="J7" s="274"/>
    </row>
    <row r="8" spans="1:10" ht="15.75">
      <c r="A8" s="302" t="s">
        <v>444</v>
      </c>
      <c r="B8" s="563" t="s">
        <v>316</v>
      </c>
      <c r="C8" s="388">
        <v>1.67</v>
      </c>
      <c r="D8" s="388">
        <v>1.1</v>
      </c>
      <c r="E8" s="388">
        <v>5.02</v>
      </c>
      <c r="F8" s="388"/>
      <c r="G8" s="276">
        <v>99</v>
      </c>
      <c r="H8" s="274"/>
      <c r="I8" s="274"/>
      <c r="J8" s="274"/>
    </row>
    <row r="9" spans="1:10" ht="15.75">
      <c r="A9" s="302" t="s">
        <v>445</v>
      </c>
      <c r="B9" s="563" t="s">
        <v>327</v>
      </c>
      <c r="C9" s="388">
        <v>2.91</v>
      </c>
      <c r="D9" s="388">
        <v>1.44</v>
      </c>
      <c r="E9" s="388">
        <v>3.81</v>
      </c>
      <c r="F9" s="275"/>
      <c r="G9" s="275">
        <v>99</v>
      </c>
      <c r="H9" s="274"/>
      <c r="I9" s="274"/>
      <c r="J9" s="274"/>
    </row>
    <row r="10" spans="1:10" ht="15.75">
      <c r="A10" s="253" t="s">
        <v>325</v>
      </c>
      <c r="B10" s="563" t="s">
        <v>321</v>
      </c>
      <c r="C10" s="273">
        <v>4.05</v>
      </c>
      <c r="D10" s="273"/>
      <c r="E10" s="273"/>
      <c r="F10" s="389"/>
      <c r="G10" s="389"/>
      <c r="H10" s="274"/>
      <c r="I10" s="274"/>
      <c r="J10" s="274"/>
    </row>
    <row r="11" spans="1:10" ht="15.75">
      <c r="A11" s="253" t="s">
        <v>324</v>
      </c>
      <c r="B11" s="563" t="s">
        <v>321</v>
      </c>
      <c r="C11" s="273">
        <v>13.26</v>
      </c>
      <c r="D11" s="273"/>
      <c r="E11" s="273"/>
      <c r="F11" s="389"/>
      <c r="G11" s="389"/>
      <c r="H11" s="274"/>
      <c r="I11" s="274"/>
      <c r="J11" s="274"/>
    </row>
    <row r="12" spans="1:10" ht="15.75">
      <c r="A12" s="302" t="s">
        <v>333</v>
      </c>
      <c r="B12" s="563" t="s">
        <v>331</v>
      </c>
      <c r="C12" s="388">
        <v>32.5</v>
      </c>
      <c r="D12" s="388">
        <v>104.84</v>
      </c>
      <c r="E12" s="388">
        <v>7.23</v>
      </c>
      <c r="F12" s="275"/>
      <c r="G12" s="275">
        <v>87</v>
      </c>
      <c r="H12" s="274"/>
      <c r="I12" s="274"/>
      <c r="J12" s="274"/>
    </row>
    <row r="13" spans="1:10" ht="15.75">
      <c r="A13" s="302" t="s">
        <v>332</v>
      </c>
      <c r="B13" s="563" t="s">
        <v>331</v>
      </c>
      <c r="C13" s="388">
        <v>6.25</v>
      </c>
      <c r="D13" s="388">
        <v>1.9</v>
      </c>
      <c r="E13" s="388">
        <v>10.04</v>
      </c>
      <c r="F13" s="275"/>
      <c r="G13" s="275">
        <v>99</v>
      </c>
      <c r="H13" s="274"/>
      <c r="I13" s="274"/>
      <c r="J13" s="274"/>
    </row>
    <row r="14" spans="1:10" ht="15.75">
      <c r="A14" s="253" t="s">
        <v>326</v>
      </c>
      <c r="B14" s="563" t="s">
        <v>321</v>
      </c>
      <c r="C14" s="273">
        <v>2.21</v>
      </c>
      <c r="D14" s="273"/>
      <c r="E14" s="273"/>
      <c r="F14" s="389"/>
      <c r="G14" s="389"/>
      <c r="H14" s="274"/>
      <c r="I14" s="274"/>
      <c r="J14" s="274"/>
    </row>
    <row r="15" spans="1:10" ht="15.75">
      <c r="A15" s="302" t="s">
        <v>318</v>
      </c>
      <c r="B15" s="563" t="s">
        <v>316</v>
      </c>
      <c r="C15" s="388">
        <v>1.67</v>
      </c>
      <c r="D15" s="388">
        <v>1.9</v>
      </c>
      <c r="E15" s="388">
        <v>3.01</v>
      </c>
      <c r="F15" s="388">
        <v>0.6</v>
      </c>
      <c r="G15" s="276">
        <v>99</v>
      </c>
      <c r="H15" s="274"/>
      <c r="I15" s="274"/>
      <c r="J15" s="274"/>
    </row>
    <row r="16" spans="1:10" ht="15.75">
      <c r="A16" s="302" t="s">
        <v>319</v>
      </c>
      <c r="B16" s="563" t="s">
        <v>316</v>
      </c>
      <c r="C16" s="388">
        <v>7.5</v>
      </c>
      <c r="D16" s="388">
        <v>1.9</v>
      </c>
      <c r="E16" s="388">
        <v>4.01</v>
      </c>
      <c r="F16" s="388">
        <v>1.6</v>
      </c>
      <c r="G16" s="276">
        <v>98</v>
      </c>
      <c r="H16" s="274"/>
      <c r="I16" s="274"/>
      <c r="J16" s="274"/>
    </row>
    <row r="17" spans="1:10" ht="15.75">
      <c r="A17" s="302" t="s">
        <v>317</v>
      </c>
      <c r="B17" s="563" t="s">
        <v>316</v>
      </c>
      <c r="C17" s="388">
        <v>0.72</v>
      </c>
      <c r="D17" s="388">
        <v>1.33</v>
      </c>
      <c r="E17" s="388">
        <v>1.81</v>
      </c>
      <c r="F17" s="388">
        <v>0.22</v>
      </c>
      <c r="G17" s="276">
        <v>99</v>
      </c>
      <c r="H17" s="274"/>
      <c r="I17" s="274"/>
      <c r="J17" s="274"/>
    </row>
    <row r="18" spans="1:10" ht="15.75">
      <c r="A18" s="253" t="s">
        <v>323</v>
      </c>
      <c r="B18" s="563" t="s">
        <v>321</v>
      </c>
      <c r="C18" s="273">
        <v>51.66</v>
      </c>
      <c r="D18" s="273">
        <v>40.04</v>
      </c>
      <c r="E18" s="273">
        <v>17.07</v>
      </c>
      <c r="F18" s="389"/>
      <c r="G18" s="389">
        <v>83</v>
      </c>
      <c r="H18" s="274"/>
      <c r="I18" s="274"/>
      <c r="J18" s="274"/>
    </row>
    <row r="19" spans="1:10" ht="15.75">
      <c r="A19" s="253" t="s">
        <v>322</v>
      </c>
      <c r="B19" s="563" t="s">
        <v>321</v>
      </c>
      <c r="C19" s="273">
        <v>1.67</v>
      </c>
      <c r="D19" s="273"/>
      <c r="E19" s="273">
        <v>9.04</v>
      </c>
      <c r="F19" s="389"/>
      <c r="G19" s="389">
        <v>99</v>
      </c>
      <c r="H19" s="274"/>
      <c r="I19" s="274"/>
      <c r="J19" s="274"/>
    </row>
    <row r="20" spans="1:10" ht="15.75">
      <c r="A20" s="302" t="s">
        <v>335</v>
      </c>
      <c r="B20" s="563" t="s">
        <v>331</v>
      </c>
      <c r="C20" s="388">
        <v>24.17</v>
      </c>
      <c r="D20" s="388">
        <v>62.9</v>
      </c>
      <c r="E20" s="388">
        <v>7.43</v>
      </c>
      <c r="F20" s="275"/>
      <c r="G20" s="275">
        <v>93</v>
      </c>
      <c r="H20" s="274"/>
      <c r="I20" s="274"/>
      <c r="J20" s="274"/>
    </row>
    <row r="21" spans="1:10" ht="15.75">
      <c r="A21" s="302" t="s">
        <v>334</v>
      </c>
      <c r="B21" s="563" t="s">
        <v>331</v>
      </c>
      <c r="C21" s="388">
        <v>3</v>
      </c>
      <c r="D21" s="388">
        <v>1.72</v>
      </c>
      <c r="E21" s="388">
        <v>8.44</v>
      </c>
      <c r="F21" s="275"/>
      <c r="G21" s="275">
        <v>99</v>
      </c>
      <c r="H21" s="274"/>
      <c r="I21" s="274"/>
      <c r="J21" s="274"/>
    </row>
    <row r="22" spans="1:10" ht="15.75">
      <c r="A22" s="302" t="s">
        <v>328</v>
      </c>
      <c r="B22" s="563" t="s">
        <v>327</v>
      </c>
      <c r="C22" s="388">
        <v>29.16</v>
      </c>
      <c r="D22" s="388">
        <v>34.32</v>
      </c>
      <c r="E22" s="388">
        <v>28.1</v>
      </c>
      <c r="F22" s="275"/>
      <c r="G22" s="275">
        <v>97</v>
      </c>
      <c r="H22" s="274"/>
      <c r="I22" s="274"/>
      <c r="J22" s="274"/>
    </row>
    <row r="23" spans="1:10" ht="15.75">
      <c r="A23" s="302" t="s">
        <v>329</v>
      </c>
      <c r="B23" s="563" t="s">
        <v>327</v>
      </c>
      <c r="C23" s="388">
        <v>25</v>
      </c>
      <c r="D23" s="388">
        <v>22.88</v>
      </c>
      <c r="E23" s="388">
        <v>21.09</v>
      </c>
      <c r="F23" s="275"/>
      <c r="G23" s="275">
        <v>97</v>
      </c>
      <c r="H23" s="274"/>
      <c r="I23" s="274"/>
      <c r="J23" s="274"/>
    </row>
    <row r="24" spans="1:10" ht="15.75">
      <c r="A24" s="302" t="s">
        <v>330</v>
      </c>
      <c r="B24" s="563" t="s">
        <v>327</v>
      </c>
      <c r="C24" s="388">
        <v>52.48</v>
      </c>
      <c r="D24" s="388">
        <v>51.48</v>
      </c>
      <c r="E24" s="388">
        <v>22.09</v>
      </c>
      <c r="F24" s="275"/>
      <c r="G24" s="275">
        <v>91</v>
      </c>
      <c r="H24" s="274"/>
      <c r="I24" s="274"/>
      <c r="J24" s="274"/>
    </row>
    <row r="25" spans="1:10" ht="12.75">
      <c r="A25" s="274"/>
      <c r="B25" s="274"/>
      <c r="C25" s="274"/>
      <c r="D25" s="274"/>
      <c r="E25" s="274"/>
      <c r="F25" s="274"/>
      <c r="G25" s="274"/>
      <c r="H25" s="274"/>
      <c r="I25" s="274"/>
      <c r="J25" s="274"/>
    </row>
    <row r="26" spans="1:10" ht="12.75">
      <c r="A26" s="274"/>
      <c r="B26" s="274"/>
      <c r="C26" s="274"/>
      <c r="D26" s="274"/>
      <c r="E26" s="274"/>
      <c r="F26" s="274"/>
      <c r="G26" s="274"/>
      <c r="H26" s="274"/>
      <c r="I26" s="274"/>
      <c r="J26" s="274"/>
    </row>
    <row r="27" spans="1:10" ht="15.75">
      <c r="A27" s="274"/>
      <c r="B27" s="274"/>
      <c r="C27" s="274"/>
      <c r="D27" s="274"/>
      <c r="E27" s="871" t="s">
        <v>337</v>
      </c>
      <c r="F27" s="871"/>
      <c r="G27" s="871"/>
      <c r="H27" s="871"/>
      <c r="I27" s="274"/>
      <c r="J27" s="274"/>
    </row>
    <row r="28" spans="1:10" ht="15.75">
      <c r="A28" s="870" t="s">
        <v>336</v>
      </c>
      <c r="B28" s="870"/>
      <c r="C28" s="870"/>
      <c r="D28" s="274"/>
      <c r="E28" s="390" t="s">
        <v>338</v>
      </c>
      <c r="F28" s="274"/>
      <c r="G28" s="390" t="s">
        <v>118</v>
      </c>
      <c r="H28" s="274"/>
      <c r="I28" s="274"/>
      <c r="J28" s="274"/>
    </row>
    <row r="29" spans="1:10" ht="15.75">
      <c r="A29" s="390" t="s">
        <v>20</v>
      </c>
      <c r="B29" s="274"/>
      <c r="C29" s="391"/>
      <c r="D29" s="274"/>
      <c r="E29" s="391"/>
      <c r="F29" s="274"/>
      <c r="G29" s="391"/>
      <c r="H29" s="274"/>
      <c r="I29" s="274"/>
      <c r="J29" s="274"/>
    </row>
    <row r="30" spans="1:10" ht="15.75">
      <c r="A30" s="390" t="s">
        <v>12</v>
      </c>
      <c r="B30" s="274"/>
      <c r="C30" s="390" t="s">
        <v>339</v>
      </c>
      <c r="D30" s="274"/>
      <c r="E30" s="391" t="s">
        <v>340</v>
      </c>
      <c r="F30" s="274"/>
      <c r="G30" s="393">
        <v>40</v>
      </c>
      <c r="H30" s="274"/>
      <c r="I30" s="274"/>
      <c r="J30" s="274"/>
    </row>
    <row r="31" spans="1:10" ht="15.75">
      <c r="A31" s="392"/>
      <c r="B31" s="274"/>
      <c r="C31" s="392"/>
      <c r="D31" s="274"/>
      <c r="E31" s="391" t="s">
        <v>342</v>
      </c>
      <c r="F31" s="274"/>
      <c r="G31" s="393">
        <v>45</v>
      </c>
      <c r="H31" s="274"/>
      <c r="I31" s="274"/>
      <c r="J31" s="274"/>
    </row>
    <row r="32" spans="1:10" ht="15.75">
      <c r="A32" s="394" t="s">
        <v>317</v>
      </c>
      <c r="B32" s="274"/>
      <c r="C32" s="395" t="s">
        <v>341</v>
      </c>
      <c r="D32" s="274"/>
      <c r="E32" s="391" t="s">
        <v>344</v>
      </c>
      <c r="F32" s="274"/>
      <c r="G32" s="393">
        <v>10</v>
      </c>
      <c r="H32" s="274"/>
      <c r="I32" s="274"/>
      <c r="J32" s="274"/>
    </row>
    <row r="33" spans="1:10" ht="15.75">
      <c r="A33" s="392" t="s">
        <v>343</v>
      </c>
      <c r="B33" s="274"/>
      <c r="C33" s="396">
        <v>150</v>
      </c>
      <c r="D33" s="274"/>
      <c r="E33" s="391" t="s">
        <v>345</v>
      </c>
      <c r="F33" s="274"/>
      <c r="G33" s="393">
        <v>5</v>
      </c>
      <c r="H33" s="274"/>
      <c r="I33" s="274"/>
      <c r="J33" s="274"/>
    </row>
    <row r="34" spans="1:10" ht="12.75">
      <c r="A34" s="262"/>
      <c r="B34" s="274"/>
      <c r="C34" s="262"/>
      <c r="D34" s="274"/>
      <c r="E34" s="294"/>
      <c r="F34" s="262"/>
      <c r="G34" s="274"/>
      <c r="H34" s="274"/>
      <c r="I34" s="274"/>
      <c r="J34" s="274"/>
    </row>
    <row r="35" spans="1:10" ht="15.75">
      <c r="A35" s="391" t="s">
        <v>346</v>
      </c>
      <c r="B35" s="274"/>
      <c r="C35" s="393">
        <v>35</v>
      </c>
      <c r="D35" s="274"/>
      <c r="E35" s="397" t="s">
        <v>348</v>
      </c>
      <c r="F35" s="398"/>
      <c r="G35" s="274"/>
      <c r="H35" s="274"/>
      <c r="I35" s="274"/>
      <c r="J35" s="274"/>
    </row>
    <row r="36" spans="1:10" ht="15.75">
      <c r="A36" s="391" t="s">
        <v>347</v>
      </c>
      <c r="B36" s="274"/>
      <c r="C36" s="393">
        <v>4</v>
      </c>
      <c r="D36" s="391"/>
      <c r="E36" s="391"/>
      <c r="F36" s="274"/>
      <c r="G36" s="274"/>
      <c r="H36" s="274"/>
      <c r="I36" s="274"/>
      <c r="J36" s="274"/>
    </row>
    <row r="37" spans="1:10" ht="15.75">
      <c r="A37" s="391" t="s">
        <v>349</v>
      </c>
      <c r="B37" s="274"/>
      <c r="C37" s="393">
        <v>15</v>
      </c>
      <c r="D37" s="391"/>
      <c r="E37" s="874" t="s">
        <v>353</v>
      </c>
      <c r="F37" s="874"/>
      <c r="G37" s="874"/>
      <c r="H37" s="274"/>
      <c r="I37" s="274"/>
      <c r="J37" s="274"/>
    </row>
    <row r="38" spans="1:10" ht="15.75">
      <c r="A38" s="391" t="s">
        <v>350</v>
      </c>
      <c r="B38" s="274"/>
      <c r="C38" s="393">
        <v>25</v>
      </c>
      <c r="D38" s="391"/>
      <c r="E38" s="403" t="s">
        <v>354</v>
      </c>
      <c r="F38" s="274"/>
      <c r="G38" s="404" t="s">
        <v>118</v>
      </c>
      <c r="H38" s="274"/>
      <c r="I38" s="274"/>
      <c r="J38" s="274"/>
    </row>
    <row r="39" spans="1:10" ht="15.75">
      <c r="A39" s="391"/>
      <c r="B39" s="274"/>
      <c r="C39" s="393"/>
      <c r="D39" s="391"/>
      <c r="E39" s="403" t="s">
        <v>12</v>
      </c>
      <c r="F39" s="274"/>
      <c r="G39" s="404" t="s">
        <v>355</v>
      </c>
      <c r="H39" s="274"/>
      <c r="I39" s="274"/>
      <c r="J39" s="274"/>
    </row>
    <row r="40" spans="1:10" ht="15.75">
      <c r="A40" s="391" t="s">
        <v>351</v>
      </c>
      <c r="B40" s="274"/>
      <c r="C40" s="393">
        <v>100</v>
      </c>
      <c r="D40" s="391"/>
      <c r="E40" s="392"/>
      <c r="F40" s="274"/>
      <c r="G40" s="399"/>
      <c r="H40" s="274"/>
      <c r="I40" s="274"/>
      <c r="J40" s="274"/>
    </row>
    <row r="41" spans="1:10" ht="15.75">
      <c r="A41" s="391"/>
      <c r="B41" s="274"/>
      <c r="C41" s="393"/>
      <c r="D41" s="399"/>
      <c r="E41" s="392" t="s">
        <v>356</v>
      </c>
      <c r="F41" s="274"/>
      <c r="G41" s="405" t="s">
        <v>357</v>
      </c>
      <c r="H41" s="274"/>
      <c r="I41" s="274"/>
      <c r="J41" s="274"/>
    </row>
    <row r="42" spans="1:10" ht="15.75">
      <c r="A42" s="391" t="s">
        <v>321</v>
      </c>
      <c r="B42" s="274"/>
      <c r="C42" s="393">
        <v>100</v>
      </c>
      <c r="D42" s="399"/>
      <c r="E42" s="392" t="s">
        <v>358</v>
      </c>
      <c r="F42" s="274"/>
      <c r="G42" s="405" t="s">
        <v>124</v>
      </c>
      <c r="H42" s="274"/>
      <c r="I42" s="274"/>
      <c r="J42" s="274"/>
    </row>
    <row r="43" spans="1:10" ht="15.75">
      <c r="A43" s="392"/>
      <c r="B43" s="392"/>
      <c r="C43" s="399"/>
      <c r="D43" s="401"/>
      <c r="E43" s="392"/>
      <c r="F43" s="392"/>
      <c r="G43" s="274"/>
      <c r="H43" s="274"/>
      <c r="I43" s="274"/>
      <c r="J43" s="274"/>
    </row>
    <row r="44" spans="1:10" ht="15.75">
      <c r="A44" s="400" t="s">
        <v>352</v>
      </c>
      <c r="B44" s="400"/>
      <c r="C44" s="401"/>
      <c r="D44" s="399"/>
      <c r="E44" s="400" t="s">
        <v>359</v>
      </c>
      <c r="F44" s="400"/>
      <c r="G44" s="274"/>
      <c r="H44" s="274"/>
      <c r="I44" s="274"/>
      <c r="J44" s="274"/>
    </row>
    <row r="45" spans="1:10" ht="15.75">
      <c r="A45" s="392"/>
      <c r="B45" s="392"/>
      <c r="C45" s="399"/>
      <c r="D45" s="399"/>
      <c r="E45" s="391"/>
      <c r="F45" s="274"/>
      <c r="G45" s="274"/>
      <c r="H45" s="274"/>
      <c r="I45" s="274"/>
      <c r="J45" s="274"/>
    </row>
    <row r="46" spans="1:10" ht="15.75">
      <c r="A46" s="274"/>
      <c r="B46" s="274"/>
      <c r="C46" s="402"/>
      <c r="D46" s="399"/>
      <c r="E46" s="391"/>
      <c r="F46" s="274"/>
      <c r="G46" s="274"/>
      <c r="H46" s="274"/>
      <c r="I46" s="274"/>
      <c r="J46" s="274"/>
    </row>
    <row r="47" spans="1:10" ht="15.75">
      <c r="A47" s="274"/>
      <c r="B47" s="274"/>
      <c r="C47" s="262"/>
      <c r="D47" s="399"/>
      <c r="E47" s="391"/>
      <c r="F47" s="274"/>
      <c r="G47" s="274"/>
      <c r="H47" s="274"/>
      <c r="I47" s="274"/>
      <c r="J47" s="274"/>
    </row>
    <row r="48" spans="1:10" ht="15.75" customHeight="1">
      <c r="A48" s="274"/>
      <c r="B48" s="274"/>
      <c r="C48" s="262"/>
      <c r="D48" s="399"/>
      <c r="E48" s="391"/>
      <c r="F48" s="274"/>
      <c r="G48" s="274"/>
      <c r="H48" s="274"/>
      <c r="I48" s="274"/>
      <c r="J48" s="274"/>
    </row>
    <row r="49" spans="1:10" ht="15.75">
      <c r="A49" s="274"/>
      <c r="B49" s="274"/>
      <c r="C49" s="262"/>
      <c r="D49" s="399"/>
      <c r="E49" s="391"/>
      <c r="F49" s="274"/>
      <c r="G49" s="274"/>
      <c r="H49" s="274"/>
      <c r="I49" s="274"/>
      <c r="J49" s="274"/>
    </row>
    <row r="51" ht="12.75" customHeight="1"/>
    <row r="58" ht="12.75" customHeight="1"/>
  </sheetData>
  <sheetProtection password="CCD6" sheet="1" objects="1" scenarios="1"/>
  <mergeCells count="4">
    <mergeCell ref="A28:C28"/>
    <mergeCell ref="E27:H27"/>
    <mergeCell ref="C1:G1"/>
    <mergeCell ref="E37:G37"/>
  </mergeCells>
  <printOptions horizontalCentered="1" verticalCentered="1"/>
  <pageMargins left="1" right="1" top="0.75" bottom="0.75" header="0.5" footer="0.5"/>
  <pageSetup horizontalDpi="600" verticalDpi="600" orientation="portrait" scale="90" r:id="rId1"/>
  <headerFooter alignWithMargins="0">
    <oddHeader>&amp;C&amp;"Times New Roman,Bold"&amp;12USDA NATURAL RESOURCES CONSERVATION SERVICE</oddHeader>
  </headerFooter>
</worksheet>
</file>

<file path=xl/worksheets/sheet8.xml><?xml version="1.0" encoding="utf-8"?>
<worksheet xmlns="http://schemas.openxmlformats.org/spreadsheetml/2006/main" xmlns:r="http://schemas.openxmlformats.org/officeDocument/2006/relationships">
  <dimension ref="A1:Q71"/>
  <sheetViews>
    <sheetView zoomScale="75" zoomScaleNormal="75" workbookViewId="0" topLeftCell="A1">
      <selection activeCell="A4" sqref="A4"/>
    </sheetView>
  </sheetViews>
  <sheetFormatPr defaultColWidth="9.140625" defaultRowHeight="12.75"/>
  <cols>
    <col min="1" max="1" width="30.28125" style="0" customWidth="1"/>
    <col min="2" max="17" width="5.7109375" style="0" customWidth="1"/>
  </cols>
  <sheetData>
    <row r="1" spans="1:17" ht="15.75">
      <c r="A1" s="290" t="s">
        <v>141</v>
      </c>
      <c r="B1" s="278" t="s">
        <v>16</v>
      </c>
      <c r="C1" s="278" t="s">
        <v>17</v>
      </c>
      <c r="D1" s="278" t="s">
        <v>18</v>
      </c>
      <c r="E1" s="278" t="s">
        <v>142</v>
      </c>
      <c r="F1" s="278" t="s">
        <v>16</v>
      </c>
      <c r="G1" s="278" t="s">
        <v>17</v>
      </c>
      <c r="H1" s="278" t="s">
        <v>18</v>
      </c>
      <c r="I1" s="278" t="s">
        <v>142</v>
      </c>
      <c r="J1" s="278" t="s">
        <v>16</v>
      </c>
      <c r="K1" s="278" t="s">
        <v>17</v>
      </c>
      <c r="L1" s="278" t="s">
        <v>18</v>
      </c>
      <c r="M1" s="278" t="s">
        <v>142</v>
      </c>
      <c r="N1" s="278" t="s">
        <v>16</v>
      </c>
      <c r="O1" s="278" t="s">
        <v>17</v>
      </c>
      <c r="P1" s="278" t="s">
        <v>18</v>
      </c>
      <c r="Q1" s="278" t="s">
        <v>142</v>
      </c>
    </row>
    <row r="2" spans="1:17" ht="15.75">
      <c r="A2" s="291" t="s">
        <v>4</v>
      </c>
      <c r="B2" s="292"/>
      <c r="C2" s="292" t="s">
        <v>143</v>
      </c>
      <c r="D2" s="292"/>
      <c r="E2" s="278"/>
      <c r="F2" s="292"/>
      <c r="G2" s="292" t="s">
        <v>144</v>
      </c>
      <c r="H2" s="292"/>
      <c r="I2" s="278"/>
      <c r="J2" s="292"/>
      <c r="K2" s="292" t="s">
        <v>145</v>
      </c>
      <c r="L2" s="292"/>
      <c r="M2" s="278"/>
      <c r="N2" s="292"/>
      <c r="O2" s="292" t="s">
        <v>146</v>
      </c>
      <c r="P2" s="292"/>
      <c r="Q2" s="292"/>
    </row>
    <row r="3" spans="1:17" ht="15.75">
      <c r="A3" s="293" t="s">
        <v>147</v>
      </c>
      <c r="B3" s="292">
        <v>62</v>
      </c>
      <c r="C3" s="292">
        <v>75</v>
      </c>
      <c r="D3" s="292">
        <v>62</v>
      </c>
      <c r="E3" s="278">
        <v>65</v>
      </c>
      <c r="F3" s="292">
        <v>77</v>
      </c>
      <c r="G3" s="292">
        <v>90</v>
      </c>
      <c r="H3" s="292">
        <v>90</v>
      </c>
      <c r="I3" s="278">
        <v>70</v>
      </c>
      <c r="J3" s="297" t="s">
        <v>4</v>
      </c>
      <c r="K3" s="297"/>
      <c r="L3" s="297"/>
      <c r="M3" s="297"/>
      <c r="N3" s="292">
        <v>62</v>
      </c>
      <c r="O3" s="292">
        <v>72</v>
      </c>
      <c r="P3" s="292">
        <v>62</v>
      </c>
      <c r="Q3" s="292">
        <v>65</v>
      </c>
    </row>
    <row r="4" spans="1:17" ht="15.75">
      <c r="A4" s="292" t="s">
        <v>148</v>
      </c>
      <c r="B4" s="292">
        <v>50</v>
      </c>
      <c r="C4" s="292">
        <v>75</v>
      </c>
      <c r="D4" s="292">
        <v>62</v>
      </c>
      <c r="E4" s="278">
        <v>30</v>
      </c>
      <c r="F4" s="292">
        <v>62</v>
      </c>
      <c r="G4" s="292">
        <v>90</v>
      </c>
      <c r="H4" s="292">
        <v>90</v>
      </c>
      <c r="I4" s="278">
        <v>40</v>
      </c>
      <c r="J4" s="297"/>
      <c r="K4" s="297"/>
      <c r="L4" s="297"/>
      <c r="M4" s="297"/>
      <c r="N4" s="292">
        <v>55</v>
      </c>
      <c r="O4" s="292">
        <v>65</v>
      </c>
      <c r="P4" s="292">
        <v>55</v>
      </c>
      <c r="Q4" s="292">
        <v>35</v>
      </c>
    </row>
    <row r="5" spans="1:17" ht="15.75">
      <c r="A5" s="292" t="s">
        <v>149</v>
      </c>
      <c r="B5" s="292">
        <v>77</v>
      </c>
      <c r="C5" s="292">
        <v>90</v>
      </c>
      <c r="D5" s="292">
        <v>90</v>
      </c>
      <c r="E5" s="278">
        <v>86</v>
      </c>
      <c r="F5" s="292">
        <v>77</v>
      </c>
      <c r="G5" s="292">
        <v>90</v>
      </c>
      <c r="H5" s="292">
        <v>90</v>
      </c>
      <c r="I5" s="278">
        <v>90</v>
      </c>
      <c r="J5" s="297"/>
      <c r="K5" s="297"/>
      <c r="L5" s="297"/>
      <c r="M5" s="297"/>
      <c r="N5" s="292">
        <v>77</v>
      </c>
      <c r="O5" s="292">
        <v>90</v>
      </c>
      <c r="P5" s="292">
        <v>90</v>
      </c>
      <c r="Q5" s="292">
        <v>86</v>
      </c>
    </row>
    <row r="6" spans="1:17" ht="15.75">
      <c r="A6" s="292" t="s">
        <v>150</v>
      </c>
      <c r="B6" s="292" t="s">
        <v>4</v>
      </c>
      <c r="C6" s="292" t="s">
        <v>4</v>
      </c>
      <c r="D6" s="292" t="s">
        <v>4</v>
      </c>
      <c r="E6" s="278"/>
      <c r="F6" s="292" t="s">
        <v>4</v>
      </c>
      <c r="G6" s="292" t="s">
        <v>4</v>
      </c>
      <c r="H6" s="292" t="s">
        <v>4</v>
      </c>
      <c r="I6" s="278"/>
      <c r="J6" s="292"/>
      <c r="K6" s="292"/>
      <c r="L6" s="292"/>
      <c r="M6" s="278"/>
      <c r="N6" s="292" t="s">
        <v>4</v>
      </c>
      <c r="O6" s="292" t="s">
        <v>4</v>
      </c>
      <c r="P6" s="292" t="s">
        <v>4</v>
      </c>
      <c r="Q6" s="292"/>
    </row>
    <row r="7" spans="1:17" ht="15.75">
      <c r="A7" s="292" t="s">
        <v>151</v>
      </c>
      <c r="B7" s="292">
        <v>67</v>
      </c>
      <c r="C7" s="292">
        <v>85</v>
      </c>
      <c r="D7" s="292">
        <v>85</v>
      </c>
      <c r="E7" s="278">
        <v>80</v>
      </c>
      <c r="F7" s="292">
        <v>67</v>
      </c>
      <c r="G7" s="292">
        <v>85</v>
      </c>
      <c r="H7" s="292">
        <v>85</v>
      </c>
      <c r="I7" s="278">
        <v>90</v>
      </c>
      <c r="J7" s="297" t="s">
        <v>4</v>
      </c>
      <c r="K7" s="297"/>
      <c r="L7" s="297"/>
      <c r="M7" s="297"/>
      <c r="N7" s="292">
        <v>73</v>
      </c>
      <c r="O7" s="292">
        <v>85</v>
      </c>
      <c r="P7" s="292">
        <v>85</v>
      </c>
      <c r="Q7" s="292">
        <v>80</v>
      </c>
    </row>
    <row r="8" spans="1:17" ht="15.75">
      <c r="A8" s="292" t="s">
        <v>152</v>
      </c>
      <c r="B8" s="292"/>
      <c r="C8" s="292"/>
      <c r="D8" s="292"/>
      <c r="E8" s="278"/>
      <c r="F8" s="292"/>
      <c r="G8" s="292"/>
      <c r="H8" s="292"/>
      <c r="I8" s="278"/>
      <c r="J8" s="292"/>
      <c r="K8" s="292"/>
      <c r="L8" s="292"/>
      <c r="M8" s="278"/>
      <c r="N8" s="292"/>
      <c r="O8" s="292"/>
      <c r="P8" s="292"/>
      <c r="Q8" s="292"/>
    </row>
    <row r="9" spans="1:17" ht="15.75">
      <c r="A9" s="292" t="s">
        <v>153</v>
      </c>
      <c r="B9" s="297" t="s">
        <v>4</v>
      </c>
      <c r="C9" s="297"/>
      <c r="D9" s="297"/>
      <c r="E9" s="297"/>
      <c r="F9" s="292">
        <v>72</v>
      </c>
      <c r="G9" s="292">
        <v>87</v>
      </c>
      <c r="H9" s="292">
        <v>87</v>
      </c>
      <c r="I9" s="278">
        <v>87</v>
      </c>
      <c r="J9" s="297" t="s">
        <v>4</v>
      </c>
      <c r="K9" s="297"/>
      <c r="L9" s="297"/>
      <c r="M9" s="297"/>
      <c r="N9" s="297" t="s">
        <v>4</v>
      </c>
      <c r="O9" s="297"/>
      <c r="P9" s="297"/>
      <c r="Q9" s="297"/>
    </row>
    <row r="10" spans="1:17" ht="15.75">
      <c r="A10" s="292" t="s">
        <v>152</v>
      </c>
      <c r="B10" s="292"/>
      <c r="C10" s="292"/>
      <c r="D10" s="292"/>
      <c r="E10" s="278"/>
      <c r="F10" s="292"/>
      <c r="G10" s="292"/>
      <c r="H10" s="292"/>
      <c r="I10" s="278"/>
      <c r="J10" s="292"/>
      <c r="K10" s="292"/>
      <c r="L10" s="292"/>
      <c r="M10" s="278"/>
      <c r="N10" s="292"/>
      <c r="O10" s="292"/>
      <c r="P10" s="292"/>
      <c r="Q10" s="292"/>
    </row>
    <row r="11" spans="1:17" ht="15.75">
      <c r="A11" s="292" t="s">
        <v>154</v>
      </c>
      <c r="B11" s="292"/>
      <c r="C11" s="292"/>
      <c r="D11" s="292"/>
      <c r="E11" s="278"/>
      <c r="F11" s="292"/>
      <c r="G11" s="292"/>
      <c r="H11" s="292"/>
      <c r="I11" s="278"/>
      <c r="J11" s="292"/>
      <c r="K11" s="292"/>
      <c r="L11" s="292"/>
      <c r="M11" s="278"/>
      <c r="N11" s="292"/>
      <c r="O11" s="292"/>
      <c r="P11" s="292"/>
      <c r="Q11" s="292"/>
    </row>
    <row r="12" spans="1:17" ht="15.75">
      <c r="A12" s="292" t="s">
        <v>155</v>
      </c>
      <c r="B12" s="292">
        <v>27</v>
      </c>
      <c r="C12" s="292">
        <v>42</v>
      </c>
      <c r="D12" s="292">
        <v>57</v>
      </c>
      <c r="E12" s="278">
        <v>93</v>
      </c>
      <c r="F12" s="292">
        <v>27</v>
      </c>
      <c r="G12" s="292">
        <v>42</v>
      </c>
      <c r="H12" s="292">
        <v>57</v>
      </c>
      <c r="I12" s="278">
        <v>95</v>
      </c>
      <c r="J12" s="292">
        <v>25</v>
      </c>
      <c r="K12" s="292">
        <v>42</v>
      </c>
      <c r="L12" s="292">
        <v>55</v>
      </c>
      <c r="M12" s="278">
        <v>85</v>
      </c>
      <c r="N12" s="297" t="s">
        <v>4</v>
      </c>
      <c r="O12" s="297"/>
      <c r="P12" s="297"/>
      <c r="Q12" s="297"/>
    </row>
    <row r="13" spans="1:17" ht="15.75">
      <c r="A13" s="292" t="s">
        <v>156</v>
      </c>
      <c r="B13" s="292"/>
      <c r="C13" s="292"/>
      <c r="D13" s="292"/>
      <c r="E13" s="278"/>
      <c r="F13" s="292"/>
      <c r="G13" s="292"/>
      <c r="H13" s="292"/>
      <c r="I13" s="278"/>
      <c r="J13" s="292"/>
      <c r="K13" s="292"/>
      <c r="L13" s="292"/>
      <c r="M13" s="278"/>
      <c r="N13" s="292"/>
      <c r="O13" s="292"/>
      <c r="P13" s="292"/>
      <c r="Q13" s="292"/>
    </row>
    <row r="14" spans="1:17" ht="15.75">
      <c r="A14" s="292" t="s">
        <v>157</v>
      </c>
      <c r="B14" s="297" t="s">
        <v>4</v>
      </c>
      <c r="C14" s="297"/>
      <c r="D14" s="297"/>
      <c r="E14" s="297"/>
      <c r="F14" s="292">
        <v>72</v>
      </c>
      <c r="G14" s="292">
        <v>87</v>
      </c>
      <c r="H14" s="292">
        <v>87</v>
      </c>
      <c r="I14" s="278">
        <v>85</v>
      </c>
      <c r="J14" s="292">
        <v>62</v>
      </c>
      <c r="K14" s="292">
        <v>87</v>
      </c>
      <c r="L14" s="292">
        <v>87</v>
      </c>
      <c r="M14" s="278" t="s">
        <v>475</v>
      </c>
      <c r="N14" s="297" t="s">
        <v>4</v>
      </c>
      <c r="O14" s="297"/>
      <c r="P14" s="297"/>
      <c r="Q14" s="297"/>
    </row>
    <row r="15" spans="1:17" ht="15.75">
      <c r="A15" s="292" t="s">
        <v>156</v>
      </c>
      <c r="B15" s="292"/>
      <c r="C15" s="292"/>
      <c r="D15" s="292"/>
      <c r="E15" s="278"/>
      <c r="F15" s="292"/>
      <c r="G15" s="292"/>
      <c r="H15" s="292"/>
      <c r="I15" s="278"/>
      <c r="J15" s="292"/>
      <c r="K15" s="292"/>
      <c r="L15" s="292"/>
      <c r="M15" s="278"/>
      <c r="N15" s="292"/>
      <c r="O15" s="292"/>
      <c r="P15" s="292"/>
      <c r="Q15" s="292"/>
    </row>
    <row r="16" spans="1:17" ht="15.75">
      <c r="A16" s="293" t="s">
        <v>158</v>
      </c>
      <c r="B16" s="292">
        <v>60</v>
      </c>
      <c r="C16" s="292">
        <v>78</v>
      </c>
      <c r="D16" s="292">
        <v>78</v>
      </c>
      <c r="E16" s="278" t="s">
        <v>473</v>
      </c>
      <c r="F16" s="292">
        <v>62</v>
      </c>
      <c r="G16" s="292">
        <v>80</v>
      </c>
      <c r="H16" s="292">
        <v>80</v>
      </c>
      <c r="I16" s="278" t="s">
        <v>474</v>
      </c>
      <c r="J16" s="297" t="s">
        <v>4</v>
      </c>
      <c r="K16" s="297"/>
      <c r="L16" s="297"/>
      <c r="M16" s="297"/>
      <c r="N16" s="297" t="s">
        <v>4</v>
      </c>
      <c r="O16" s="297"/>
      <c r="P16" s="297"/>
      <c r="Q16" s="297"/>
    </row>
    <row r="17" spans="1:17" ht="15.75">
      <c r="A17" s="293" t="s">
        <v>159</v>
      </c>
      <c r="B17" s="292" t="s">
        <v>4</v>
      </c>
      <c r="C17" s="292"/>
      <c r="D17" s="292"/>
      <c r="E17" s="278"/>
      <c r="F17" s="292"/>
      <c r="G17" s="292"/>
      <c r="H17" s="292"/>
      <c r="I17" s="278"/>
      <c r="J17" s="292"/>
      <c r="K17" s="292"/>
      <c r="L17" s="292"/>
      <c r="M17" s="278"/>
      <c r="N17" s="292"/>
      <c r="O17" s="292"/>
      <c r="P17" s="292"/>
      <c r="Q17" s="292"/>
    </row>
    <row r="18" spans="1:17" ht="15.75">
      <c r="A18" s="293" t="s">
        <v>160</v>
      </c>
      <c r="B18" s="292">
        <v>77</v>
      </c>
      <c r="C18" s="292">
        <v>90</v>
      </c>
      <c r="D18" s="292">
        <v>90</v>
      </c>
      <c r="E18" s="278">
        <v>90</v>
      </c>
      <c r="F18" s="292">
        <v>77</v>
      </c>
      <c r="G18" s="292">
        <v>93</v>
      </c>
      <c r="H18" s="292">
        <v>93</v>
      </c>
      <c r="I18" s="278">
        <v>92</v>
      </c>
      <c r="J18" s="292">
        <v>85</v>
      </c>
      <c r="K18" s="292">
        <v>93</v>
      </c>
      <c r="L18" s="292">
        <v>93</v>
      </c>
      <c r="M18" s="278">
        <v>25</v>
      </c>
      <c r="N18" s="292">
        <v>77</v>
      </c>
      <c r="O18" s="292">
        <v>93</v>
      </c>
      <c r="P18" s="292">
        <v>93</v>
      </c>
      <c r="Q18" s="292">
        <v>92</v>
      </c>
    </row>
    <row r="19" spans="1:17" ht="15.75">
      <c r="A19" s="293" t="s">
        <v>203</v>
      </c>
      <c r="B19" s="292"/>
      <c r="C19" s="292"/>
      <c r="D19" s="292"/>
      <c r="E19" s="278"/>
      <c r="F19" s="292"/>
      <c r="G19" s="292"/>
      <c r="H19" s="292"/>
      <c r="I19" s="278" t="s">
        <v>477</v>
      </c>
      <c r="J19" s="292"/>
      <c r="K19" s="292"/>
      <c r="L19" s="292"/>
      <c r="M19" s="278" t="s">
        <v>475</v>
      </c>
      <c r="N19" s="292"/>
      <c r="O19" s="292"/>
      <c r="P19" s="292"/>
      <c r="Q19" s="292"/>
    </row>
    <row r="20" spans="1:17" ht="15.75">
      <c r="A20" s="671" t="s">
        <v>476</v>
      </c>
      <c r="B20" s="292"/>
      <c r="C20" s="292"/>
      <c r="D20" s="292"/>
      <c r="E20" s="278"/>
      <c r="F20" s="292"/>
      <c r="G20" s="292"/>
      <c r="H20" s="292"/>
      <c r="I20" s="278"/>
      <c r="J20" s="292"/>
      <c r="K20" s="292"/>
      <c r="L20" s="292"/>
      <c r="M20" s="278"/>
      <c r="N20" s="292"/>
      <c r="O20" s="292"/>
      <c r="P20" s="292"/>
      <c r="Q20" s="292"/>
    </row>
    <row r="21" spans="1:17" ht="12.75">
      <c r="A21" s="294"/>
      <c r="B21" s="294"/>
      <c r="C21" s="294"/>
      <c r="D21" s="294"/>
      <c r="E21" s="294"/>
      <c r="F21" s="294"/>
      <c r="G21" s="294"/>
      <c r="H21" s="294"/>
      <c r="I21" s="294"/>
      <c r="J21" s="294"/>
      <c r="K21" s="294"/>
      <c r="L21" s="294"/>
      <c r="M21" s="294"/>
      <c r="N21" s="294"/>
      <c r="O21" s="294"/>
      <c r="P21" s="294"/>
      <c r="Q21" s="294"/>
    </row>
    <row r="22" spans="1:17" ht="15.75">
      <c r="A22" s="295" t="s">
        <v>161</v>
      </c>
      <c r="B22" s="292"/>
      <c r="C22" s="292"/>
      <c r="D22" s="292"/>
      <c r="E22" s="292"/>
      <c r="F22" s="292"/>
      <c r="G22" s="292"/>
      <c r="H22" s="292"/>
      <c r="I22" s="294"/>
      <c r="J22" s="294"/>
      <c r="K22" s="294"/>
      <c r="L22" s="294"/>
      <c r="M22" s="294"/>
      <c r="N22" s="294"/>
      <c r="O22" s="294"/>
      <c r="P22" s="294"/>
      <c r="Q22" s="294"/>
    </row>
    <row r="23" spans="1:17" ht="15.75">
      <c r="A23" s="292"/>
      <c r="B23" s="292" t="s">
        <v>162</v>
      </c>
      <c r="C23" s="292"/>
      <c r="D23" s="292"/>
      <c r="E23" s="292"/>
      <c r="F23" s="292"/>
      <c r="G23" s="292"/>
      <c r="H23" s="292"/>
      <c r="I23" s="294"/>
      <c r="J23" s="294" t="s">
        <v>163</v>
      </c>
      <c r="K23" s="294"/>
      <c r="L23" s="294"/>
      <c r="M23" s="294"/>
      <c r="N23" s="294"/>
      <c r="O23" s="294"/>
      <c r="P23" s="294"/>
      <c r="Q23" s="294"/>
    </row>
    <row r="24" spans="1:17" ht="15.75">
      <c r="A24" s="292" t="s">
        <v>164</v>
      </c>
      <c r="B24" s="292"/>
      <c r="C24" s="292" t="s">
        <v>165</v>
      </c>
      <c r="D24" s="292"/>
      <c r="E24" s="292" t="s">
        <v>166</v>
      </c>
      <c r="F24" s="292"/>
      <c r="G24" s="292" t="s">
        <v>167</v>
      </c>
      <c r="H24" s="292"/>
      <c r="I24" s="294"/>
      <c r="J24" s="294"/>
      <c r="K24" s="294"/>
      <c r="L24" s="294"/>
      <c r="M24" s="294"/>
      <c r="N24" s="294"/>
      <c r="O24" s="294"/>
      <c r="P24" s="294"/>
      <c r="Q24" s="294"/>
    </row>
    <row r="25" spans="1:17" ht="15.75">
      <c r="A25" s="292" t="s">
        <v>168</v>
      </c>
      <c r="B25" s="292"/>
      <c r="C25" s="278">
        <v>97</v>
      </c>
      <c r="D25" s="292"/>
      <c r="E25" s="278">
        <v>94</v>
      </c>
      <c r="F25" s="292"/>
      <c r="G25" s="278">
        <v>92</v>
      </c>
      <c r="H25" s="292"/>
      <c r="I25" s="294"/>
      <c r="J25" s="294" t="s">
        <v>169</v>
      </c>
      <c r="K25" s="294"/>
      <c r="L25" s="294"/>
      <c r="M25" s="294"/>
      <c r="N25" s="294"/>
      <c r="O25" s="294"/>
      <c r="P25" s="294"/>
      <c r="Q25" s="294"/>
    </row>
    <row r="26" spans="1:17" ht="15.75">
      <c r="A26" s="292" t="s">
        <v>170</v>
      </c>
      <c r="B26" s="292"/>
      <c r="C26" s="278">
        <v>94</v>
      </c>
      <c r="D26" s="292"/>
      <c r="E26" s="278">
        <v>90</v>
      </c>
      <c r="F26" s="292"/>
      <c r="G26" s="278">
        <v>87</v>
      </c>
      <c r="H26" s="292"/>
      <c r="I26" s="294"/>
      <c r="J26" s="294"/>
      <c r="K26" s="294" t="s">
        <v>171</v>
      </c>
      <c r="L26" s="294"/>
      <c r="M26" s="294"/>
      <c r="N26" s="294"/>
      <c r="O26" s="294"/>
      <c r="P26" s="294"/>
      <c r="Q26" s="294"/>
    </row>
    <row r="27" spans="1:17" ht="15.75">
      <c r="A27" s="292" t="s">
        <v>172</v>
      </c>
      <c r="B27" s="292"/>
      <c r="C27" s="278">
        <v>91</v>
      </c>
      <c r="D27" s="292"/>
      <c r="E27" s="278">
        <v>87</v>
      </c>
      <c r="F27" s="292"/>
      <c r="G27" s="278">
        <v>83</v>
      </c>
      <c r="H27" s="292"/>
      <c r="I27" s="294"/>
      <c r="J27" s="294"/>
      <c r="K27" s="294"/>
      <c r="L27" s="294"/>
      <c r="M27" s="294"/>
      <c r="N27" s="294"/>
      <c r="O27" s="294"/>
      <c r="P27" s="294"/>
      <c r="Q27" s="294"/>
    </row>
    <row r="28" spans="1:17" ht="15.75">
      <c r="A28" s="292" t="s">
        <v>173</v>
      </c>
      <c r="B28" s="292"/>
      <c r="C28" s="278">
        <v>80</v>
      </c>
      <c r="D28" s="292"/>
      <c r="E28" s="278">
        <v>70</v>
      </c>
      <c r="F28" s="292"/>
      <c r="G28" s="278">
        <v>60</v>
      </c>
      <c r="H28" s="292"/>
      <c r="I28" s="294"/>
      <c r="J28" s="294"/>
      <c r="K28" s="294"/>
      <c r="L28" s="294"/>
      <c r="M28" s="294"/>
      <c r="N28" s="294"/>
      <c r="O28" s="294"/>
      <c r="P28" s="294"/>
      <c r="Q28" s="294"/>
    </row>
    <row r="29" spans="1:17" ht="15.75">
      <c r="A29" s="292"/>
      <c r="B29" s="292"/>
      <c r="C29" s="278"/>
      <c r="D29" s="292"/>
      <c r="E29" s="278"/>
      <c r="F29" s="292"/>
      <c r="G29" s="278"/>
      <c r="H29" s="292"/>
      <c r="I29" s="294"/>
      <c r="J29" s="294"/>
      <c r="K29" s="294"/>
      <c r="L29" s="294"/>
      <c r="M29" s="294"/>
      <c r="N29" s="294"/>
      <c r="O29" s="294"/>
      <c r="P29" s="294"/>
      <c r="Q29" s="294"/>
    </row>
    <row r="30" spans="1:17" ht="12.75">
      <c r="A30" s="294"/>
      <c r="B30" s="294"/>
      <c r="C30" s="294"/>
      <c r="D30" s="294"/>
      <c r="E30" s="294"/>
      <c r="F30" s="294"/>
      <c r="G30" s="294"/>
      <c r="H30" s="294"/>
      <c r="I30" s="294"/>
      <c r="J30" s="294"/>
      <c r="K30" s="294"/>
      <c r="L30" s="294"/>
      <c r="M30" s="294"/>
      <c r="N30" s="294"/>
      <c r="O30" s="294"/>
      <c r="P30" s="294"/>
      <c r="Q30" s="294"/>
    </row>
    <row r="31" spans="1:17" ht="15.75">
      <c r="A31" s="295" t="s">
        <v>174</v>
      </c>
      <c r="B31" s="294"/>
      <c r="C31" s="294"/>
      <c r="D31" s="294"/>
      <c r="E31" s="294"/>
      <c r="F31" s="294"/>
      <c r="G31" s="274"/>
      <c r="H31" s="295" t="s">
        <v>175</v>
      </c>
      <c r="I31" s="294"/>
      <c r="J31" s="294"/>
      <c r="K31" s="294"/>
      <c r="L31" s="294"/>
      <c r="M31" s="294"/>
      <c r="N31" s="294"/>
      <c r="O31" s="294"/>
      <c r="P31" s="262"/>
      <c r="Q31" s="294"/>
    </row>
    <row r="32" spans="1:17" ht="15.75">
      <c r="A32" s="278" t="s">
        <v>176</v>
      </c>
      <c r="B32" s="292"/>
      <c r="C32" s="292"/>
      <c r="D32" s="292"/>
      <c r="E32" s="294"/>
      <c r="F32" s="294"/>
      <c r="G32" s="274"/>
      <c r="H32" s="294"/>
      <c r="I32" s="294"/>
      <c r="J32" s="294"/>
      <c r="K32" s="294"/>
      <c r="L32" s="294"/>
      <c r="M32" s="294"/>
      <c r="N32" s="294"/>
      <c r="O32" s="294"/>
      <c r="P32" s="262"/>
      <c r="Q32" s="294"/>
    </row>
    <row r="33" spans="1:17" ht="15.75">
      <c r="A33" s="278" t="s">
        <v>177</v>
      </c>
      <c r="B33" s="274"/>
      <c r="C33" s="278" t="s">
        <v>16</v>
      </c>
      <c r="D33" s="278" t="s">
        <v>17</v>
      </c>
      <c r="E33" s="278" t="s">
        <v>18</v>
      </c>
      <c r="F33" s="262"/>
      <c r="G33" s="274"/>
      <c r="H33" s="292" t="s">
        <v>178</v>
      </c>
      <c r="I33" s="262"/>
      <c r="J33" s="262"/>
      <c r="K33" s="262"/>
      <c r="L33" s="262"/>
      <c r="M33" s="292" t="s">
        <v>179</v>
      </c>
      <c r="N33" s="262"/>
      <c r="O33" s="262"/>
      <c r="P33" s="294"/>
      <c r="Q33" s="294"/>
    </row>
    <row r="34" spans="1:17" ht="15.75">
      <c r="A34" s="292" t="s">
        <v>180</v>
      </c>
      <c r="B34" s="274"/>
      <c r="C34" s="278">
        <v>93</v>
      </c>
      <c r="D34" s="278">
        <v>93</v>
      </c>
      <c r="E34" s="278">
        <v>98</v>
      </c>
      <c r="F34" s="294"/>
      <c r="G34" s="274"/>
      <c r="H34" s="292" t="s">
        <v>181</v>
      </c>
      <c r="I34" s="292"/>
      <c r="J34" s="292"/>
      <c r="K34" s="292"/>
      <c r="L34" s="262"/>
      <c r="M34" s="292"/>
      <c r="N34" s="278">
        <v>95</v>
      </c>
      <c r="O34" s="292"/>
      <c r="P34" s="294"/>
      <c r="Q34" s="294"/>
    </row>
    <row r="35" spans="1:17" ht="15.75">
      <c r="A35" s="292" t="s">
        <v>182</v>
      </c>
      <c r="B35" s="274"/>
      <c r="C35" s="278">
        <v>81</v>
      </c>
      <c r="D35" s="278">
        <v>93</v>
      </c>
      <c r="E35" s="278">
        <v>98</v>
      </c>
      <c r="F35" s="294"/>
      <c r="G35" s="274"/>
      <c r="H35" s="292" t="s">
        <v>183</v>
      </c>
      <c r="I35" s="292"/>
      <c r="J35" s="292"/>
      <c r="K35" s="292"/>
      <c r="L35" s="262"/>
      <c r="M35" s="292"/>
      <c r="N35" s="278">
        <v>75</v>
      </c>
      <c r="O35" s="292"/>
      <c r="P35" s="294"/>
      <c r="Q35" s="294"/>
    </row>
    <row r="36" spans="1:17" ht="15.75">
      <c r="A36" s="292" t="s">
        <v>184</v>
      </c>
      <c r="B36" s="274"/>
      <c r="C36" s="278">
        <v>83</v>
      </c>
      <c r="D36" s="278">
        <v>93</v>
      </c>
      <c r="E36" s="278">
        <v>98</v>
      </c>
      <c r="F36" s="294"/>
      <c r="G36" s="274"/>
      <c r="H36" s="292" t="s">
        <v>185</v>
      </c>
      <c r="I36" s="292"/>
      <c r="J36" s="292"/>
      <c r="K36" s="292"/>
      <c r="L36" s="262"/>
      <c r="M36" s="262"/>
      <c r="N36" s="262"/>
      <c r="O36" s="262"/>
      <c r="P36" s="262"/>
      <c r="Q36" s="262"/>
    </row>
    <row r="37" spans="1:17" ht="15.75">
      <c r="A37" s="292" t="s">
        <v>186</v>
      </c>
      <c r="B37" s="274"/>
      <c r="C37" s="278"/>
      <c r="D37" s="278"/>
      <c r="E37" s="278"/>
      <c r="F37" s="294"/>
      <c r="G37" s="274"/>
      <c r="H37" s="292" t="s">
        <v>187</v>
      </c>
      <c r="I37" s="292"/>
      <c r="J37" s="292"/>
      <c r="K37" s="292"/>
      <c r="L37" s="262"/>
      <c r="M37" s="296" t="s">
        <v>188</v>
      </c>
      <c r="N37" s="274"/>
      <c r="O37" s="274"/>
      <c r="P37" s="294"/>
      <c r="Q37" s="294"/>
    </row>
    <row r="38" spans="1:17" ht="15.75">
      <c r="A38" s="292" t="s">
        <v>189</v>
      </c>
      <c r="B38" s="274"/>
      <c r="C38" s="278">
        <v>73</v>
      </c>
      <c r="D38" s="278">
        <v>90</v>
      </c>
      <c r="E38" s="278">
        <v>93</v>
      </c>
      <c r="F38" s="294"/>
      <c r="G38" s="274"/>
      <c r="H38" s="292" t="s">
        <v>190</v>
      </c>
      <c r="I38" s="292"/>
      <c r="J38" s="292"/>
      <c r="K38" s="292"/>
      <c r="L38" s="292" t="s">
        <v>191</v>
      </c>
      <c r="M38" s="292"/>
      <c r="N38" s="292" t="s">
        <v>192</v>
      </c>
      <c r="O38" s="294"/>
      <c r="P38" s="292" t="s">
        <v>193</v>
      </c>
      <c r="Q38" s="294"/>
    </row>
    <row r="39" spans="1:17" ht="15.75">
      <c r="A39" s="292" t="s">
        <v>194</v>
      </c>
      <c r="B39" s="274"/>
      <c r="C39" s="278"/>
      <c r="D39" s="278"/>
      <c r="E39" s="278"/>
      <c r="F39" s="294"/>
      <c r="G39" s="274"/>
      <c r="H39" s="262"/>
      <c r="I39" s="292">
        <v>1</v>
      </c>
      <c r="J39" s="292"/>
      <c r="K39" s="292"/>
      <c r="L39" s="292">
        <v>70</v>
      </c>
      <c r="M39" s="292"/>
      <c r="N39" s="292">
        <v>90</v>
      </c>
      <c r="O39" s="292"/>
      <c r="P39" s="292">
        <v>100</v>
      </c>
      <c r="Q39" s="294"/>
    </row>
    <row r="40" spans="1:17" ht="15.75">
      <c r="A40" s="292" t="s">
        <v>195</v>
      </c>
      <c r="B40" s="274"/>
      <c r="C40" s="278">
        <v>68</v>
      </c>
      <c r="D40" s="278">
        <v>90</v>
      </c>
      <c r="E40" s="278">
        <v>93</v>
      </c>
      <c r="F40" s="294"/>
      <c r="G40" s="274"/>
      <c r="H40" s="262"/>
      <c r="I40" s="292">
        <v>4</v>
      </c>
      <c r="J40" s="292"/>
      <c r="K40" s="292"/>
      <c r="L40" s="292">
        <v>60</v>
      </c>
      <c r="M40" s="292"/>
      <c r="N40" s="292">
        <v>80</v>
      </c>
      <c r="O40" s="292"/>
      <c r="P40" s="292">
        <v>95</v>
      </c>
      <c r="Q40" s="294"/>
    </row>
    <row r="41" spans="1:17" ht="15.75">
      <c r="A41" s="292" t="s">
        <v>196</v>
      </c>
      <c r="B41" s="274"/>
      <c r="C41" s="278"/>
      <c r="D41" s="278"/>
      <c r="E41" s="278"/>
      <c r="F41" s="294"/>
      <c r="G41" s="274"/>
      <c r="H41" s="262"/>
      <c r="I41" s="292" t="s">
        <v>197</v>
      </c>
      <c r="J41" s="292"/>
      <c r="K41" s="292"/>
      <c r="L41" s="292">
        <v>50</v>
      </c>
      <c r="M41" s="292"/>
      <c r="N41" s="292">
        <v>70</v>
      </c>
      <c r="O41" s="292"/>
      <c r="P41" s="292">
        <v>90</v>
      </c>
      <c r="Q41" s="294"/>
    </row>
    <row r="42" spans="1:17" ht="15.75">
      <c r="A42" s="292" t="s">
        <v>198</v>
      </c>
      <c r="B42" s="274"/>
      <c r="C42" s="278">
        <v>49</v>
      </c>
      <c r="D42" s="278">
        <v>90</v>
      </c>
      <c r="E42" s="278">
        <v>93</v>
      </c>
      <c r="F42" s="294"/>
      <c r="G42" s="274"/>
      <c r="H42" s="294"/>
      <c r="I42" s="292"/>
      <c r="J42" s="292"/>
      <c r="K42" s="292"/>
      <c r="L42" s="292"/>
      <c r="M42" s="292"/>
      <c r="N42" s="292"/>
      <c r="O42" s="292"/>
      <c r="P42" s="294"/>
      <c r="Q42" s="294"/>
    </row>
    <row r="43" spans="1:17" ht="15.75">
      <c r="A43" s="292" t="s">
        <v>199</v>
      </c>
      <c r="B43" s="274"/>
      <c r="C43" s="278"/>
      <c r="D43" s="278"/>
      <c r="E43" s="278"/>
      <c r="F43" s="294"/>
      <c r="H43" s="294" t="s">
        <v>200</v>
      </c>
      <c r="I43" s="292"/>
      <c r="J43" s="292"/>
      <c r="K43" s="292"/>
      <c r="L43" s="292"/>
      <c r="M43" s="292"/>
      <c r="N43" s="292"/>
      <c r="O43" s="292"/>
      <c r="P43" s="294"/>
      <c r="Q43" s="294"/>
    </row>
    <row r="44" spans="1:17" ht="15.75">
      <c r="A44" s="292" t="s">
        <v>201</v>
      </c>
      <c r="B44" s="274"/>
      <c r="C44" s="278">
        <v>53</v>
      </c>
      <c r="D44" s="278">
        <v>90</v>
      </c>
      <c r="E44" s="278">
        <v>93</v>
      </c>
      <c r="F44" s="294"/>
      <c r="G44" s="294"/>
      <c r="H44" s="292"/>
      <c r="I44" s="292"/>
      <c r="J44" s="292"/>
      <c r="K44" s="292"/>
      <c r="L44" s="292"/>
      <c r="M44" s="292"/>
      <c r="N44" s="292"/>
      <c r="O44" s="294"/>
      <c r="P44" s="294"/>
      <c r="Q44" s="294"/>
    </row>
    <row r="45" spans="1:17" ht="15.75">
      <c r="A45" s="292" t="s">
        <v>202</v>
      </c>
      <c r="B45" s="274"/>
      <c r="C45" s="278">
        <v>68</v>
      </c>
      <c r="D45" s="278">
        <v>90</v>
      </c>
      <c r="E45" s="278">
        <v>93</v>
      </c>
      <c r="F45" s="294"/>
      <c r="G45" s="294"/>
      <c r="H45" s="292"/>
      <c r="I45" s="292"/>
      <c r="J45" s="292"/>
      <c r="K45" s="292"/>
      <c r="L45" s="292"/>
      <c r="M45" s="292"/>
      <c r="N45" s="292"/>
      <c r="O45" s="294"/>
      <c r="P45" s="294"/>
      <c r="Q45" s="294"/>
    </row>
    <row r="46" spans="1:17" ht="15.75">
      <c r="A46" s="292" t="s">
        <v>203</v>
      </c>
      <c r="B46" s="274"/>
      <c r="C46" s="278">
        <v>30</v>
      </c>
      <c r="D46" s="278">
        <v>60</v>
      </c>
      <c r="E46" s="278">
        <v>75</v>
      </c>
      <c r="F46" s="294"/>
      <c r="G46" s="294"/>
      <c r="H46" s="294"/>
      <c r="I46" s="294"/>
      <c r="J46" s="294"/>
      <c r="K46" s="294"/>
      <c r="L46" s="294"/>
      <c r="M46" s="294"/>
      <c r="N46" s="294"/>
      <c r="O46" s="294"/>
      <c r="P46" s="294"/>
      <c r="Q46" s="294"/>
    </row>
    <row r="47" spans="1:17" ht="12.75">
      <c r="A47" s="262"/>
      <c r="B47" s="262"/>
      <c r="C47" s="262"/>
      <c r="D47" s="262"/>
      <c r="E47" s="294"/>
      <c r="F47" s="294"/>
      <c r="G47" s="294"/>
      <c r="H47" s="294"/>
      <c r="I47" s="294"/>
      <c r="J47" s="294"/>
      <c r="K47" s="294"/>
      <c r="L47" s="294"/>
      <c r="M47" s="294"/>
      <c r="N47" s="294"/>
      <c r="O47" s="294"/>
      <c r="P47" s="294"/>
      <c r="Q47" s="294"/>
    </row>
    <row r="48" spans="1:17" ht="12.75">
      <c r="A48" s="294" t="s">
        <v>204</v>
      </c>
      <c r="B48" s="262"/>
      <c r="C48" s="262"/>
      <c r="D48" s="262"/>
      <c r="E48" s="294"/>
      <c r="F48" s="294"/>
      <c r="G48" s="294"/>
      <c r="H48" s="294"/>
      <c r="I48" s="294"/>
      <c r="J48" s="294"/>
      <c r="K48" s="294"/>
      <c r="L48" s="294"/>
      <c r="M48" s="294"/>
      <c r="N48" s="294"/>
      <c r="O48" s="294"/>
      <c r="P48" s="294"/>
      <c r="Q48" s="294"/>
    </row>
    <row r="50" spans="12:17" ht="12.75">
      <c r="L50" s="5"/>
      <c r="M50" s="5"/>
      <c r="N50" s="5"/>
      <c r="O50" s="5"/>
      <c r="P50" s="5"/>
      <c r="Q50" s="5"/>
    </row>
    <row r="51" spans="12:17" ht="12.75">
      <c r="L51" s="5"/>
      <c r="M51" s="5"/>
      <c r="N51" s="5"/>
      <c r="O51" s="5"/>
      <c r="P51" s="5"/>
      <c r="Q51" s="5"/>
    </row>
    <row r="52" spans="12:17" ht="12.75">
      <c r="L52" s="225"/>
      <c r="M52" s="5"/>
      <c r="N52" s="5"/>
      <c r="O52" s="5"/>
      <c r="P52" s="5"/>
      <c r="Q52" s="5"/>
    </row>
    <row r="53" spans="12:17" ht="12.75">
      <c r="L53" s="225"/>
      <c r="M53" s="5"/>
      <c r="N53" s="5"/>
      <c r="O53" s="5"/>
      <c r="P53" s="5"/>
      <c r="Q53" s="5"/>
    </row>
    <row r="54" spans="12:17" ht="12.75">
      <c r="L54" s="225"/>
      <c r="M54" s="5"/>
      <c r="N54" s="5"/>
      <c r="O54" s="5"/>
      <c r="P54" s="5"/>
      <c r="Q54" s="5"/>
    </row>
    <row r="55" spans="12:17" ht="12.75">
      <c r="L55" s="225"/>
      <c r="M55" s="5"/>
      <c r="N55" s="5"/>
      <c r="O55" s="5"/>
      <c r="P55" s="5"/>
      <c r="Q55" s="5"/>
    </row>
    <row r="56" spans="12:17" ht="12.75">
      <c r="L56" s="225"/>
      <c r="M56" s="5"/>
      <c r="N56" s="5"/>
      <c r="O56" s="5"/>
      <c r="P56" s="5"/>
      <c r="Q56" s="5"/>
    </row>
    <row r="57" spans="12:17" ht="12.75">
      <c r="L57" s="225"/>
      <c r="M57" s="5"/>
      <c r="N57" s="5"/>
      <c r="O57" s="5"/>
      <c r="P57" s="5"/>
      <c r="Q57" s="5"/>
    </row>
    <row r="58" spans="12:17" ht="12.75">
      <c r="L58" s="225"/>
      <c r="M58" s="5"/>
      <c r="N58" s="5"/>
      <c r="O58" s="5"/>
      <c r="P58" s="5"/>
      <c r="Q58" s="5"/>
    </row>
    <row r="59" spans="12:17" ht="12.75">
      <c r="L59" s="225"/>
      <c r="M59" s="5"/>
      <c r="N59" s="5"/>
      <c r="O59" s="5"/>
      <c r="P59" s="5"/>
      <c r="Q59" s="5"/>
    </row>
    <row r="60" spans="12:17" ht="12.75">
      <c r="L60" s="225"/>
      <c r="M60" s="5"/>
      <c r="N60" s="5"/>
      <c r="O60" s="5"/>
      <c r="P60" s="5"/>
      <c r="Q60" s="5"/>
    </row>
    <row r="61" spans="12:17" ht="12.75">
      <c r="L61" s="225"/>
      <c r="M61" s="5"/>
      <c r="N61" s="5"/>
      <c r="O61" s="5"/>
      <c r="P61" s="5"/>
      <c r="Q61" s="5"/>
    </row>
    <row r="62" spans="12:17" ht="12.75">
      <c r="L62" s="225"/>
      <c r="M62" s="5"/>
      <c r="N62" s="5"/>
      <c r="O62" s="5"/>
      <c r="P62" s="5"/>
      <c r="Q62" s="5"/>
    </row>
    <row r="63" spans="12:17" ht="12.75">
      <c r="L63" s="225"/>
      <c r="M63" s="5"/>
      <c r="N63" s="5"/>
      <c r="O63" s="5"/>
      <c r="P63" s="5"/>
      <c r="Q63" s="5"/>
    </row>
    <row r="64" spans="12:17" ht="12.75">
      <c r="L64" s="225"/>
      <c r="M64" s="5"/>
      <c r="N64" s="5"/>
      <c r="O64" s="5"/>
      <c r="P64" s="5"/>
      <c r="Q64" s="5"/>
    </row>
    <row r="65" spans="12:17" ht="12.75">
      <c r="L65" s="5"/>
      <c r="M65" s="5"/>
      <c r="N65" s="5"/>
      <c r="O65" s="5"/>
      <c r="P65" s="5"/>
      <c r="Q65" s="5"/>
    </row>
    <row r="66" spans="12:17" ht="12.75">
      <c r="L66" s="5"/>
      <c r="M66" s="5"/>
      <c r="N66" s="5"/>
      <c r="O66" s="5"/>
      <c r="P66" s="5"/>
      <c r="Q66" s="5"/>
    </row>
    <row r="67" spans="12:17" ht="12.75">
      <c r="L67" s="5"/>
      <c r="M67" s="5"/>
      <c r="N67" s="5"/>
      <c r="O67" s="5"/>
      <c r="P67" s="5"/>
      <c r="Q67" s="5"/>
    </row>
    <row r="68" spans="12:17" ht="12.75">
      <c r="L68" s="1"/>
      <c r="M68" s="1"/>
      <c r="N68" s="1"/>
      <c r="O68" s="1"/>
      <c r="P68" s="1"/>
      <c r="Q68" s="1"/>
    </row>
    <row r="69" spans="12:17" ht="12.75">
      <c r="L69" s="1"/>
      <c r="M69" s="1"/>
      <c r="N69" s="1"/>
      <c r="O69" s="1"/>
      <c r="P69" s="1"/>
      <c r="Q69" s="1"/>
    </row>
    <row r="70" spans="12:17" ht="12.75">
      <c r="L70" s="1"/>
      <c r="M70" s="1"/>
      <c r="N70" s="1"/>
      <c r="O70" s="1"/>
      <c r="P70" s="1"/>
      <c r="Q70" s="1"/>
    </row>
    <row r="71" spans="12:17" ht="12.75">
      <c r="L71" s="1"/>
      <c r="M71" s="1"/>
      <c r="N71" s="1"/>
      <c r="O71" s="1"/>
      <c r="P71" s="1"/>
      <c r="Q71" s="1"/>
    </row>
  </sheetData>
  <sheetProtection password="CE92" sheet="1" objects="1" scenarios="1"/>
  <printOptions horizontalCentered="1"/>
  <pageMargins left="0.7" right="0.7" top="1" bottom="1" header="0.5" footer="0.5"/>
  <pageSetup horizontalDpi="600" verticalDpi="600" orientation="portrait" scale="75" r:id="rId1"/>
  <headerFooter alignWithMargins="0">
    <oddHeader>&amp;C&amp;"Times New Roman,Bold"&amp;12USDA NATURAL RESOURCES CONSERVATION SERVICE</oddHeader>
  </headerFooter>
</worksheet>
</file>

<file path=xl/worksheets/sheet9.xml><?xml version="1.0" encoding="utf-8"?>
<worksheet xmlns="http://schemas.openxmlformats.org/spreadsheetml/2006/main" xmlns:r="http://schemas.openxmlformats.org/officeDocument/2006/relationships">
  <dimension ref="A1:E41"/>
  <sheetViews>
    <sheetView zoomScale="75" zoomScaleNormal="75" workbookViewId="0" topLeftCell="A1">
      <selection activeCell="A5" sqref="A5"/>
    </sheetView>
  </sheetViews>
  <sheetFormatPr defaultColWidth="9.140625" defaultRowHeight="12.75"/>
  <cols>
    <col min="1" max="1" width="20.7109375" style="0" customWidth="1"/>
    <col min="2" max="2" width="6.7109375" style="0" customWidth="1"/>
    <col min="7" max="7" width="9.7109375" style="0" customWidth="1"/>
    <col min="8" max="9" width="10.7109375" style="0" customWidth="1"/>
    <col min="10" max="10" width="13.28125" style="0" customWidth="1"/>
    <col min="11" max="12" width="10.7109375" style="0" customWidth="1"/>
  </cols>
  <sheetData>
    <row r="1" spans="1:5" ht="15.75">
      <c r="A1" s="295" t="s">
        <v>205</v>
      </c>
      <c r="B1" s="295"/>
      <c r="C1" s="294"/>
      <c r="D1" s="294"/>
      <c r="E1" s="294"/>
    </row>
    <row r="2" spans="1:5" ht="12.75">
      <c r="A2" s="274"/>
      <c r="B2" s="274"/>
      <c r="C2" s="274"/>
      <c r="D2" s="274"/>
      <c r="E2" s="274"/>
    </row>
    <row r="3" spans="1:5" ht="15.75">
      <c r="A3" s="271" t="s">
        <v>206</v>
      </c>
      <c r="B3" s="271" t="s">
        <v>300</v>
      </c>
      <c r="C3" s="303" t="s">
        <v>207</v>
      </c>
      <c r="D3" s="303" t="s">
        <v>17</v>
      </c>
      <c r="E3" s="303" t="s">
        <v>18</v>
      </c>
    </row>
    <row r="4" spans="1:5" ht="15.75">
      <c r="A4" s="300" t="s">
        <v>4</v>
      </c>
      <c r="B4" s="301"/>
      <c r="C4" s="301"/>
      <c r="D4" s="301"/>
      <c r="E4" s="301"/>
    </row>
    <row r="5" spans="1:5" ht="15.75">
      <c r="A5" s="368">
        <v>0</v>
      </c>
      <c r="B5" s="360"/>
      <c r="C5" s="301"/>
      <c r="D5" s="301"/>
      <c r="E5" s="301"/>
    </row>
    <row r="6" spans="1:5" ht="15.75">
      <c r="A6" s="556" t="s">
        <v>64</v>
      </c>
      <c r="B6" s="704" t="s">
        <v>223</v>
      </c>
      <c r="C6" s="704">
        <v>56.6</v>
      </c>
      <c r="D6" s="704">
        <v>13.3</v>
      </c>
      <c r="E6" s="704">
        <v>60</v>
      </c>
    </row>
    <row r="7" spans="1:5" ht="15.75">
      <c r="A7" s="556" t="s">
        <v>208</v>
      </c>
      <c r="B7" s="704" t="s">
        <v>223</v>
      </c>
      <c r="C7" s="704">
        <v>33.48</v>
      </c>
      <c r="D7" s="704">
        <v>9.11</v>
      </c>
      <c r="E7" s="704">
        <v>33.41</v>
      </c>
    </row>
    <row r="8" spans="1:5" ht="15.75">
      <c r="A8" s="556" t="s">
        <v>310</v>
      </c>
      <c r="B8" s="704" t="s">
        <v>223</v>
      </c>
      <c r="C8" s="704">
        <v>8</v>
      </c>
      <c r="D8" s="704">
        <v>3.67</v>
      </c>
      <c r="E8" s="704">
        <v>14.3</v>
      </c>
    </row>
    <row r="9" spans="1:5" ht="15.75">
      <c r="A9" s="556" t="s">
        <v>209</v>
      </c>
      <c r="B9" s="704" t="s">
        <v>224</v>
      </c>
      <c r="C9" s="704">
        <v>1.45</v>
      </c>
      <c r="D9" s="704">
        <v>0.55</v>
      </c>
      <c r="E9" s="704">
        <v>1.45</v>
      </c>
    </row>
    <row r="10" spans="1:5" ht="15.75">
      <c r="A10" s="556" t="s">
        <v>496</v>
      </c>
      <c r="B10" s="704" t="s">
        <v>223</v>
      </c>
      <c r="C10" s="704">
        <v>17.6</v>
      </c>
      <c r="D10" s="704">
        <v>11.8</v>
      </c>
      <c r="E10" s="704">
        <v>23.04</v>
      </c>
    </row>
    <row r="11" spans="1:5" ht="15.75">
      <c r="A11" s="302" t="s">
        <v>307</v>
      </c>
      <c r="B11" s="275" t="s">
        <v>223</v>
      </c>
      <c r="C11" s="725">
        <v>37.4</v>
      </c>
      <c r="D11" s="725">
        <v>9.66</v>
      </c>
      <c r="E11" s="725">
        <v>61.2</v>
      </c>
    </row>
    <row r="12" spans="1:5" ht="15.75">
      <c r="A12" s="556" t="s">
        <v>497</v>
      </c>
      <c r="B12" s="704" t="s">
        <v>299</v>
      </c>
      <c r="C12" s="704">
        <v>3</v>
      </c>
      <c r="D12" s="704">
        <v>1.5</v>
      </c>
      <c r="E12" s="704">
        <v>2.4</v>
      </c>
    </row>
    <row r="13" spans="1:5" ht="15.75">
      <c r="A13" s="556" t="s">
        <v>498</v>
      </c>
      <c r="B13" s="704" t="s">
        <v>223</v>
      </c>
      <c r="C13" s="704">
        <v>3.8</v>
      </c>
      <c r="D13" s="704">
        <v>1.82</v>
      </c>
      <c r="E13" s="704">
        <v>6</v>
      </c>
    </row>
    <row r="14" spans="1:5" ht="15.75">
      <c r="A14" s="556" t="s">
        <v>471</v>
      </c>
      <c r="B14" s="704" t="s">
        <v>299</v>
      </c>
      <c r="C14" s="704">
        <v>6.56</v>
      </c>
      <c r="D14" s="704">
        <v>1.4</v>
      </c>
      <c r="E14" s="704">
        <v>4.2</v>
      </c>
    </row>
    <row r="15" spans="1:5" ht="15.75">
      <c r="A15" s="556" t="s">
        <v>210</v>
      </c>
      <c r="B15" s="704" t="s">
        <v>224</v>
      </c>
      <c r="C15" s="704">
        <v>0.9</v>
      </c>
      <c r="D15" s="704">
        <v>0.37</v>
      </c>
      <c r="E15" s="704">
        <v>0.87</v>
      </c>
    </row>
    <row r="16" spans="1:5" ht="15.75">
      <c r="A16" s="556" t="s">
        <v>68</v>
      </c>
      <c r="B16" s="704" t="s">
        <v>223</v>
      </c>
      <c r="C16" s="704">
        <v>9</v>
      </c>
      <c r="D16" s="704">
        <v>3.1</v>
      </c>
      <c r="E16" s="704">
        <v>9</v>
      </c>
    </row>
    <row r="17" spans="1:5" ht="15.75">
      <c r="A17" s="556" t="s">
        <v>499</v>
      </c>
      <c r="B17" s="704" t="s">
        <v>223</v>
      </c>
      <c r="C17" s="704">
        <v>40</v>
      </c>
      <c r="D17" s="704">
        <v>13</v>
      </c>
      <c r="E17" s="704">
        <v>60</v>
      </c>
    </row>
    <row r="18" spans="1:5" ht="15.75">
      <c r="A18" s="556" t="s">
        <v>500</v>
      </c>
      <c r="B18" s="704" t="s">
        <v>223</v>
      </c>
      <c r="C18" s="704">
        <v>10</v>
      </c>
      <c r="D18" s="704">
        <v>13</v>
      </c>
      <c r="E18" s="704">
        <v>60</v>
      </c>
    </row>
    <row r="19" spans="1:5" ht="15.75">
      <c r="A19" s="556" t="s">
        <v>501</v>
      </c>
      <c r="B19" s="704" t="s">
        <v>223</v>
      </c>
      <c r="C19" s="704">
        <v>20</v>
      </c>
      <c r="D19" s="704">
        <v>13</v>
      </c>
      <c r="E19" s="704">
        <v>60</v>
      </c>
    </row>
    <row r="20" spans="1:5" ht="15.75">
      <c r="A20" s="556" t="s">
        <v>502</v>
      </c>
      <c r="B20" s="704" t="s">
        <v>223</v>
      </c>
      <c r="C20" s="704">
        <v>30</v>
      </c>
      <c r="D20" s="704">
        <v>13</v>
      </c>
      <c r="E20" s="704">
        <v>60</v>
      </c>
    </row>
    <row r="21" spans="1:5" ht="15.75">
      <c r="A21" s="556" t="s">
        <v>66</v>
      </c>
      <c r="B21" s="704" t="s">
        <v>223</v>
      </c>
      <c r="C21" s="704">
        <v>40</v>
      </c>
      <c r="D21" s="704">
        <v>13</v>
      </c>
      <c r="E21" s="704">
        <v>60</v>
      </c>
    </row>
    <row r="22" spans="1:5" ht="15.75">
      <c r="A22" s="556" t="s">
        <v>67</v>
      </c>
      <c r="B22" s="704" t="s">
        <v>223</v>
      </c>
      <c r="C22" s="704">
        <v>31.6</v>
      </c>
      <c r="D22" s="704">
        <v>13</v>
      </c>
      <c r="E22" s="704">
        <v>60</v>
      </c>
    </row>
    <row r="23" spans="1:5" ht="15.75">
      <c r="A23" s="556" t="s">
        <v>305</v>
      </c>
      <c r="B23" s="704" t="s">
        <v>223</v>
      </c>
      <c r="C23" s="704">
        <v>7.55</v>
      </c>
      <c r="D23" s="704">
        <v>3.76</v>
      </c>
      <c r="E23" s="704">
        <v>5.88</v>
      </c>
    </row>
    <row r="24" spans="1:5" ht="15.75">
      <c r="A24" s="556" t="s">
        <v>211</v>
      </c>
      <c r="B24" s="704" t="s">
        <v>224</v>
      </c>
      <c r="C24" s="704">
        <v>1.15</v>
      </c>
      <c r="D24" s="704">
        <v>0.4</v>
      </c>
      <c r="E24" s="704">
        <v>1.45</v>
      </c>
    </row>
    <row r="25" spans="1:5" ht="15.75">
      <c r="A25" s="556" t="s">
        <v>503</v>
      </c>
      <c r="B25" s="704" t="s">
        <v>223</v>
      </c>
      <c r="C25" s="704">
        <v>11.2</v>
      </c>
      <c r="D25" s="704">
        <v>5.15</v>
      </c>
      <c r="E25" s="704">
        <v>9.02</v>
      </c>
    </row>
    <row r="26" spans="1:5" ht="15.75">
      <c r="A26" s="556" t="s">
        <v>212</v>
      </c>
      <c r="B26" s="704" t="s">
        <v>299</v>
      </c>
      <c r="C26" s="704">
        <v>0.3</v>
      </c>
      <c r="D26" s="704">
        <v>0.13</v>
      </c>
      <c r="E26" s="704">
        <v>0.27</v>
      </c>
    </row>
    <row r="27" spans="1:5" ht="15.75">
      <c r="A27" s="556" t="s">
        <v>213</v>
      </c>
      <c r="B27" s="704" t="s">
        <v>299</v>
      </c>
      <c r="C27" s="704">
        <v>0.5</v>
      </c>
      <c r="D27" s="704">
        <v>0.18</v>
      </c>
      <c r="E27" s="704">
        <v>0.7</v>
      </c>
    </row>
    <row r="28" spans="1:5" ht="15.75">
      <c r="A28" s="302" t="s">
        <v>214</v>
      </c>
      <c r="B28" s="275" t="s">
        <v>223</v>
      </c>
      <c r="C28" s="726">
        <v>40</v>
      </c>
      <c r="D28" s="725">
        <v>14</v>
      </c>
      <c r="E28" s="726">
        <v>16</v>
      </c>
    </row>
    <row r="29" spans="1:5" ht="15.75">
      <c r="A29" s="556" t="s">
        <v>504</v>
      </c>
      <c r="B29" s="704" t="s">
        <v>306</v>
      </c>
      <c r="C29" s="704">
        <v>0.05</v>
      </c>
      <c r="D29" s="704">
        <v>0.03</v>
      </c>
      <c r="E29" s="704">
        <v>0.05</v>
      </c>
    </row>
    <row r="30" spans="1:5" ht="15.75">
      <c r="A30" s="556" t="s">
        <v>505</v>
      </c>
      <c r="B30" s="704" t="s">
        <v>306</v>
      </c>
      <c r="C30" s="704">
        <v>0.05</v>
      </c>
      <c r="D30" s="704">
        <v>0.03</v>
      </c>
      <c r="E30" s="704">
        <v>0.05</v>
      </c>
    </row>
    <row r="31" spans="1:5" ht="15.75">
      <c r="A31" s="556" t="s">
        <v>215</v>
      </c>
      <c r="B31" s="704" t="s">
        <v>223</v>
      </c>
      <c r="C31" s="704">
        <v>11.2</v>
      </c>
      <c r="D31" s="704">
        <v>5.15</v>
      </c>
      <c r="E31" s="704">
        <v>9.02</v>
      </c>
    </row>
    <row r="32" spans="1:5" ht="15.75">
      <c r="A32" s="556" t="s">
        <v>216</v>
      </c>
      <c r="B32" s="704" t="s">
        <v>223</v>
      </c>
      <c r="C32" s="704">
        <v>13.6</v>
      </c>
      <c r="D32" s="704">
        <v>3.68</v>
      </c>
      <c r="E32" s="704">
        <v>17.4</v>
      </c>
    </row>
    <row r="33" spans="1:5" ht="15.75">
      <c r="A33" s="556" t="s">
        <v>506</v>
      </c>
      <c r="B33" s="704" t="s">
        <v>223</v>
      </c>
      <c r="C33" s="704">
        <v>8.5</v>
      </c>
      <c r="D33" s="704">
        <v>2</v>
      </c>
      <c r="E33" s="704">
        <v>12</v>
      </c>
    </row>
    <row r="34" spans="1:5" ht="15.75">
      <c r="A34" s="556" t="s">
        <v>309</v>
      </c>
      <c r="B34" s="704" t="s">
        <v>223</v>
      </c>
      <c r="C34" s="704">
        <v>17.8</v>
      </c>
      <c r="D34" s="704">
        <v>11.04</v>
      </c>
      <c r="E34" s="704">
        <v>13.92</v>
      </c>
    </row>
    <row r="35" spans="1:5" ht="15.75">
      <c r="A35" s="302" t="s">
        <v>308</v>
      </c>
      <c r="B35" s="275" t="s">
        <v>223</v>
      </c>
      <c r="C35" s="725">
        <v>39.4</v>
      </c>
      <c r="D35" s="725">
        <v>9.2</v>
      </c>
      <c r="E35" s="725">
        <v>48</v>
      </c>
    </row>
    <row r="36" spans="1:5" ht="15.75">
      <c r="A36" s="556" t="s">
        <v>507</v>
      </c>
      <c r="B36" s="704" t="s">
        <v>223</v>
      </c>
      <c r="C36" s="704">
        <v>43.7</v>
      </c>
      <c r="D36" s="704">
        <v>13.76</v>
      </c>
      <c r="E36" s="704">
        <v>12.18</v>
      </c>
    </row>
    <row r="37" spans="1:5" ht="15.75">
      <c r="A37" s="556" t="s">
        <v>508</v>
      </c>
      <c r="B37" s="704" t="s">
        <v>224</v>
      </c>
      <c r="C37" s="704">
        <v>2</v>
      </c>
      <c r="D37" s="704">
        <v>0.75</v>
      </c>
      <c r="E37" s="704">
        <v>2</v>
      </c>
    </row>
    <row r="38" spans="1:5" ht="15.75">
      <c r="A38" s="556" t="s">
        <v>509</v>
      </c>
      <c r="B38" s="704" t="s">
        <v>224</v>
      </c>
      <c r="C38" s="704">
        <v>1.7</v>
      </c>
      <c r="D38" s="704">
        <v>0.7</v>
      </c>
      <c r="E38" s="704">
        <v>2</v>
      </c>
    </row>
    <row r="39" ht="12.75">
      <c r="A39" s="274"/>
    </row>
    <row r="40" ht="12.75">
      <c r="A40" s="294" t="s">
        <v>510</v>
      </c>
    </row>
    <row r="41" ht="12.75">
      <c r="A41" s="727" t="s">
        <v>511</v>
      </c>
    </row>
  </sheetData>
  <sheetProtection password="CF5B" sheet="1" objects="1" scenarios="1"/>
  <printOptions horizontalCentered="1"/>
  <pageMargins left="0.5" right="0.5" top="1.5" bottom="1" header="0.5" footer="0.5"/>
  <pageSetup horizontalDpi="600" verticalDpi="600" orientation="portrait" scale="95" r:id="rId1"/>
  <headerFooter alignWithMargins="0">
    <oddHeader>&amp;C&amp;"Times New Roman,Bold"&amp;12USDA NATURAL RESOURCES CONSERVATION SERVICE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Animal Manure Nutrient Balance Spreadsheet</dc:title>
  <dc:subject>Animal Manure Management</dc:subject>
  <dc:creator>Kerry Goodrich, Conservation Agronomist, P.O. Box 11350, Salt Lake City, Utah 84147  (801) 524-4568</dc:creator>
  <cp:keywords>manure, management, nutrient budget, animal manure</cp:keywords>
  <dc:description/>
  <cp:lastModifiedBy>Kerry Goodrich</cp:lastModifiedBy>
  <cp:lastPrinted>2006-01-20T15:22:06Z</cp:lastPrinted>
  <dcterms:created xsi:type="dcterms:W3CDTF">1999-01-19T22:09:21Z</dcterms:created>
  <dcterms:modified xsi:type="dcterms:W3CDTF">2006-01-20T15:31:45Z</dcterms:modified>
  <cp:category/>
  <cp:version/>
  <cp:contentType/>
  <cp:contentStatus/>
</cp:coreProperties>
</file>