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96" windowWidth="19068" windowHeight="10956"/>
  </bookViews>
  <sheets>
    <sheet name="Worksheet" sheetId="1" r:id="rId1"/>
    <sheet name="Winter Precipitation Values" sheetId="3" r:id="rId2"/>
    <sheet name="Scoring" sheetId="4" r:id="rId3"/>
    <sheet name="Pictures" sheetId="5" r:id="rId4"/>
    <sheet name="Interpertations" sheetId="6" r:id="rId5"/>
    <sheet name="Parameters Setbacks" sheetId="7" r:id="rId6"/>
  </sheets>
  <definedNames>
    <definedName name="_">Worksheet!$V$8</definedName>
    <definedName name="_xlnm.Print_Area" localSheetId="0">Worksheet!$A$1:$Z$51</definedName>
    <definedName name="Restrict._Layer">Worksheet!$K$8</definedName>
  </definedNames>
  <calcPr calcId="145621"/>
</workbook>
</file>

<file path=xl/calcChain.xml><?xml version="1.0" encoding="utf-8"?>
<calcChain xmlns="http://schemas.openxmlformats.org/spreadsheetml/2006/main">
  <c r="H51" i="1" l="1"/>
  <c r="H49" i="1"/>
  <c r="H47" i="1"/>
  <c r="H45" i="1"/>
  <c r="H43" i="1"/>
  <c r="H41" i="1"/>
  <c r="H39" i="1"/>
  <c r="H37" i="1"/>
  <c r="H35" i="1"/>
  <c r="H33" i="1"/>
  <c r="H31" i="1"/>
  <c r="H29" i="1"/>
  <c r="H27" i="1"/>
  <c r="H25" i="1"/>
  <c r="H23" i="1"/>
  <c r="H21" i="1"/>
  <c r="H19" i="1"/>
  <c r="H17" i="1"/>
  <c r="H15" i="1"/>
  <c r="H13" i="1"/>
  <c r="H11" i="1"/>
  <c r="H9" i="1"/>
  <c r="K51" i="1"/>
  <c r="J51" i="1"/>
  <c r="K49" i="1"/>
  <c r="J49" i="1"/>
  <c r="K47" i="1"/>
  <c r="J47" i="1"/>
  <c r="K45" i="1"/>
  <c r="J45" i="1"/>
  <c r="K43" i="1"/>
  <c r="J43" i="1"/>
  <c r="K41" i="1"/>
  <c r="J41" i="1"/>
  <c r="K39" i="1"/>
  <c r="J39" i="1"/>
  <c r="K37" i="1"/>
  <c r="J37" i="1"/>
  <c r="K35" i="1"/>
  <c r="J35" i="1"/>
  <c r="K33" i="1"/>
  <c r="J33" i="1"/>
  <c r="K31" i="1"/>
  <c r="J31" i="1"/>
  <c r="K29" i="1"/>
  <c r="J29" i="1"/>
  <c r="K27" i="1"/>
  <c r="J27" i="1"/>
  <c r="K25" i="1"/>
  <c r="J25" i="1"/>
  <c r="K23" i="1"/>
  <c r="J23" i="1"/>
  <c r="K21" i="1"/>
  <c r="J21" i="1"/>
  <c r="K19" i="1"/>
  <c r="J19" i="1"/>
  <c r="K17" i="1"/>
  <c r="J17" i="1"/>
  <c r="K15" i="1"/>
  <c r="J15" i="1"/>
  <c r="K13" i="1"/>
  <c r="J13" i="1"/>
  <c r="K11" i="1"/>
  <c r="J11" i="1"/>
  <c r="K9" i="1"/>
  <c r="J9" i="1"/>
  <c r="E51" i="1"/>
  <c r="D51" i="1"/>
  <c r="E49" i="1"/>
  <c r="D49" i="1"/>
  <c r="E47" i="1"/>
  <c r="D47" i="1"/>
  <c r="E45" i="1"/>
  <c r="D45" i="1"/>
  <c r="E43" i="1"/>
  <c r="D43" i="1"/>
  <c r="E41" i="1"/>
  <c r="D41" i="1"/>
  <c r="E39" i="1"/>
  <c r="D39" i="1"/>
  <c r="E37" i="1"/>
  <c r="D37" i="1"/>
  <c r="E35" i="1"/>
  <c r="D35" i="1"/>
  <c r="E33" i="1"/>
  <c r="D33" i="1"/>
  <c r="E31" i="1"/>
  <c r="D31" i="1"/>
  <c r="E29" i="1"/>
  <c r="D29" i="1"/>
  <c r="E27" i="1"/>
  <c r="D27" i="1"/>
  <c r="E25" i="1"/>
  <c r="D25" i="1"/>
  <c r="E23" i="1"/>
  <c r="D23" i="1"/>
  <c r="E21" i="1"/>
  <c r="D21" i="1"/>
  <c r="E19" i="1"/>
  <c r="D19" i="1"/>
  <c r="E17" i="1"/>
  <c r="D17" i="1"/>
  <c r="E15" i="1"/>
  <c r="D15" i="1"/>
  <c r="E13" i="1"/>
  <c r="D13" i="1"/>
  <c r="E11" i="1"/>
  <c r="D11" i="1"/>
  <c r="E9" i="1"/>
  <c r="D9" i="1"/>
  <c r="B51" i="1"/>
  <c r="B49" i="1"/>
  <c r="B29" i="1"/>
  <c r="B31" i="1"/>
  <c r="B33" i="1"/>
  <c r="B35" i="1"/>
  <c r="B37" i="1"/>
  <c r="B39" i="1"/>
  <c r="B41" i="1"/>
  <c r="B43" i="1"/>
  <c r="B45" i="1"/>
  <c r="B47" i="1"/>
  <c r="B19" i="1"/>
  <c r="B21" i="1"/>
  <c r="B23" i="1"/>
  <c r="B25" i="1"/>
  <c r="B27" i="1"/>
  <c r="B9" i="1"/>
  <c r="B17" i="1"/>
  <c r="B15" i="1"/>
  <c r="B13" i="1"/>
  <c r="B11" i="1"/>
  <c r="C47" i="1"/>
  <c r="F47" i="1" s="1"/>
  <c r="F48" i="1"/>
  <c r="G48" i="1"/>
  <c r="C49" i="1"/>
  <c r="G49" i="1" s="1"/>
  <c r="F49" i="1"/>
  <c r="F50" i="1"/>
  <c r="G50" i="1"/>
  <c r="C51" i="1"/>
  <c r="G51" i="1" s="1"/>
  <c r="F51" i="1"/>
  <c r="G10" i="1"/>
  <c r="G12" i="1"/>
  <c r="G14" i="1"/>
  <c r="G16" i="1"/>
  <c r="G18" i="1"/>
  <c r="G20" i="1"/>
  <c r="G22" i="1"/>
  <c r="G24" i="1"/>
  <c r="G26" i="1"/>
  <c r="G28" i="1"/>
  <c r="T28" i="1" s="1"/>
  <c r="G30" i="1"/>
  <c r="G32" i="1"/>
  <c r="G34" i="1"/>
  <c r="G36" i="1"/>
  <c r="G38" i="1"/>
  <c r="G40" i="1"/>
  <c r="G42" i="1"/>
  <c r="G44" i="1"/>
  <c r="G46" i="1"/>
  <c r="G8" i="1"/>
  <c r="C9" i="1"/>
  <c r="F10" i="1"/>
  <c r="F12" i="1"/>
  <c r="F14" i="1"/>
  <c r="F16" i="1"/>
  <c r="F18" i="1"/>
  <c r="F20" i="1"/>
  <c r="F22" i="1"/>
  <c r="T22" i="1" s="1"/>
  <c r="F24" i="1"/>
  <c r="F26" i="1"/>
  <c r="F28" i="1"/>
  <c r="F30" i="1"/>
  <c r="F32" i="1"/>
  <c r="F34" i="1"/>
  <c r="F36" i="1"/>
  <c r="F38" i="1"/>
  <c r="F40" i="1"/>
  <c r="F42" i="1"/>
  <c r="F44" i="1"/>
  <c r="F46" i="1"/>
  <c r="F8" i="1"/>
  <c r="G47" i="1" l="1"/>
  <c r="T40" i="1"/>
  <c r="T24" i="1"/>
  <c r="G9" i="1"/>
  <c r="T12" i="1"/>
  <c r="F9" i="1"/>
  <c r="T16" i="1"/>
  <c r="T50" i="1"/>
  <c r="T8" i="1"/>
  <c r="T14" i="1"/>
  <c r="T38" i="1"/>
  <c r="T46" i="1"/>
  <c r="T30" i="1"/>
  <c r="T44" i="1"/>
  <c r="T10" i="1"/>
  <c r="T36" i="1"/>
  <c r="T20" i="1"/>
  <c r="T34" i="1"/>
  <c r="T18" i="1"/>
  <c r="T42" i="1"/>
  <c r="T48" i="1"/>
  <c r="T32" i="1"/>
  <c r="T26" i="1"/>
  <c r="C45" i="1"/>
  <c r="G45" i="1" s="1"/>
  <c r="C43" i="1"/>
  <c r="G43" i="1" s="1"/>
  <c r="C41" i="1"/>
  <c r="G41" i="1" s="1"/>
  <c r="C39" i="1"/>
  <c r="G39" i="1" s="1"/>
  <c r="C37" i="1"/>
  <c r="G37" i="1" s="1"/>
  <c r="C35" i="1"/>
  <c r="G35" i="1" s="1"/>
  <c r="C33" i="1"/>
  <c r="G33" i="1" s="1"/>
  <c r="C31" i="1"/>
  <c r="G31" i="1" s="1"/>
  <c r="C29" i="1"/>
  <c r="G29" i="1" s="1"/>
  <c r="C27" i="1"/>
  <c r="G27" i="1" s="1"/>
  <c r="C25" i="1"/>
  <c r="G25" i="1" s="1"/>
  <c r="C23" i="1"/>
  <c r="G23" i="1" s="1"/>
  <c r="C21" i="1"/>
  <c r="G21" i="1" s="1"/>
  <c r="C19" i="1"/>
  <c r="G19" i="1" s="1"/>
  <c r="C17" i="1"/>
  <c r="G17" i="1" s="1"/>
  <c r="C15" i="1"/>
  <c r="G15" i="1" s="1"/>
  <c r="C13" i="1"/>
  <c r="G13" i="1" s="1"/>
  <c r="C11" i="1"/>
  <c r="G11" i="1" s="1"/>
  <c r="AC3" i="1"/>
  <c r="T9" i="1" l="1"/>
  <c r="F45" i="1"/>
  <c r="F43" i="1"/>
  <c r="F41" i="1"/>
  <c r="F39" i="1"/>
  <c r="T39" i="1" s="1"/>
  <c r="U39" i="1" s="1"/>
  <c r="F37" i="1"/>
  <c r="F35" i="1"/>
  <c r="F33" i="1"/>
  <c r="T33" i="1"/>
  <c r="F31" i="1"/>
  <c r="F29" i="1"/>
  <c r="T29" i="1" s="1"/>
  <c r="F27" i="1"/>
  <c r="F25" i="1"/>
  <c r="T25" i="1" s="1"/>
  <c r="F23" i="1"/>
  <c r="F19" i="1"/>
  <c r="F21" i="1"/>
  <c r="F17" i="1"/>
  <c r="T17" i="1" s="1"/>
  <c r="F15" i="1"/>
  <c r="F13" i="1"/>
  <c r="F11" i="1"/>
  <c r="U36" i="1"/>
  <c r="U42" i="1"/>
  <c r="U46" i="1"/>
  <c r="U38" i="1"/>
  <c r="U48" i="1"/>
  <c r="U34" i="1"/>
  <c r="U40" i="1"/>
  <c r="U44" i="1"/>
  <c r="U50" i="1"/>
  <c r="Z26" i="1"/>
  <c r="Z27" i="1" s="1"/>
  <c r="Z28" i="1" s="1"/>
  <c r="K5" i="1"/>
  <c r="E43" i="3"/>
  <c r="D43" i="3"/>
  <c r="H43" i="3" s="1"/>
  <c r="E42" i="3"/>
  <c r="D42" i="3"/>
  <c r="H42" i="3" s="1"/>
  <c r="E41" i="3"/>
  <c r="D41" i="3"/>
  <c r="H41" i="3" s="1"/>
  <c r="E40" i="3"/>
  <c r="D40" i="3"/>
  <c r="H40" i="3" s="1"/>
  <c r="E39" i="3"/>
  <c r="D39" i="3"/>
  <c r="H39" i="3" s="1"/>
  <c r="E38" i="3"/>
  <c r="D38" i="3"/>
  <c r="H38" i="3" s="1"/>
  <c r="E37" i="3"/>
  <c r="D37" i="3"/>
  <c r="H37" i="3" s="1"/>
  <c r="E36" i="3"/>
  <c r="D36" i="3"/>
  <c r="H36" i="3" s="1"/>
  <c r="E35" i="3"/>
  <c r="D35" i="3"/>
  <c r="H35" i="3" s="1"/>
  <c r="E34" i="3"/>
  <c r="D34" i="3"/>
  <c r="H34" i="3" s="1"/>
  <c r="E33" i="3"/>
  <c r="D33" i="3"/>
  <c r="H33" i="3" s="1"/>
  <c r="E32" i="3"/>
  <c r="D32" i="3"/>
  <c r="H32" i="3" s="1"/>
  <c r="E31" i="3"/>
  <c r="D31" i="3"/>
  <c r="H31" i="3" s="1"/>
  <c r="H30" i="3"/>
  <c r="E29" i="3"/>
  <c r="D29" i="3"/>
  <c r="H29" i="3" s="1"/>
  <c r="H28" i="3"/>
  <c r="E27" i="3"/>
  <c r="D27" i="3"/>
  <c r="H27" i="3" s="1"/>
  <c r="E26" i="3"/>
  <c r="D26" i="3"/>
  <c r="H26" i="3" s="1"/>
  <c r="E25" i="3"/>
  <c r="D25" i="3"/>
  <c r="H25" i="3" s="1"/>
  <c r="E24" i="3"/>
  <c r="D24" i="3"/>
  <c r="H24" i="3" s="1"/>
  <c r="E23" i="3"/>
  <c r="D23" i="3"/>
  <c r="H23" i="3" s="1"/>
  <c r="E22" i="3"/>
  <c r="D22" i="3"/>
  <c r="H22" i="3" s="1"/>
  <c r="E21" i="3"/>
  <c r="D21" i="3"/>
  <c r="H21" i="3" s="1"/>
  <c r="E20" i="3"/>
  <c r="D20" i="3"/>
  <c r="H20" i="3" s="1"/>
  <c r="E19" i="3"/>
  <c r="D19" i="3"/>
  <c r="H19" i="3" s="1"/>
  <c r="E18" i="3"/>
  <c r="D18" i="3"/>
  <c r="H18" i="3" s="1"/>
  <c r="E17" i="3"/>
  <c r="D17" i="3"/>
  <c r="H17" i="3" s="1"/>
  <c r="E16" i="3"/>
  <c r="D16" i="3"/>
  <c r="H16" i="3" s="1"/>
  <c r="E15" i="3"/>
  <c r="D15" i="3"/>
  <c r="E14" i="3"/>
  <c r="D14" i="3"/>
  <c r="E13" i="3"/>
  <c r="D13" i="3"/>
  <c r="H13" i="3" s="1"/>
  <c r="E12" i="3"/>
  <c r="D12" i="3"/>
  <c r="H12" i="3" s="1"/>
  <c r="E11" i="3"/>
  <c r="D11" i="3"/>
  <c r="H10" i="3"/>
  <c r="E10" i="3"/>
  <c r="D10" i="3"/>
  <c r="E9" i="3"/>
  <c r="D9" i="3"/>
  <c r="H9" i="3" s="1"/>
  <c r="E8" i="3"/>
  <c r="D8" i="3"/>
  <c r="H8" i="3" s="1"/>
  <c r="E7" i="3"/>
  <c r="D7" i="3"/>
  <c r="H7" i="3" s="1"/>
  <c r="E6" i="3"/>
  <c r="D6" i="3"/>
  <c r="H6" i="3" s="1"/>
  <c r="E5" i="3"/>
  <c r="D5" i="3"/>
  <c r="H5" i="3" s="1"/>
  <c r="Q5" i="1"/>
  <c r="T51" i="1" l="1"/>
  <c r="U51" i="1" s="1"/>
  <c r="T49" i="1"/>
  <c r="U49" i="1" s="1"/>
  <c r="T47" i="1"/>
  <c r="U47" i="1" s="1"/>
  <c r="T45" i="1"/>
  <c r="U45" i="1" s="1"/>
  <c r="T43" i="1"/>
  <c r="U43" i="1" s="1"/>
  <c r="T41" i="1"/>
  <c r="U41" i="1" s="1"/>
  <c r="T37" i="1"/>
  <c r="U37" i="1" s="1"/>
  <c r="T35" i="1"/>
  <c r="U35" i="1" s="1"/>
  <c r="T31" i="1"/>
  <c r="T27" i="1"/>
  <c r="U27" i="1" s="1"/>
  <c r="T23" i="1"/>
  <c r="U23" i="1" s="1"/>
  <c r="T19" i="1"/>
  <c r="U19" i="1" s="1"/>
  <c r="T21" i="1"/>
  <c r="U21" i="1" s="1"/>
  <c r="T15" i="1"/>
  <c r="U15" i="1" s="1"/>
  <c r="T13" i="1"/>
  <c r="U13" i="1" s="1"/>
  <c r="T11" i="1"/>
  <c r="U11" i="1" s="1"/>
  <c r="H14" i="3"/>
  <c r="H11" i="3"/>
  <c r="H15" i="3"/>
  <c r="U32" i="1"/>
  <c r="U14" i="1"/>
  <c r="U22" i="1"/>
  <c r="U18" i="1"/>
  <c r="U20" i="1"/>
  <c r="U24" i="1"/>
  <c r="U25" i="1"/>
  <c r="U16" i="1"/>
  <c r="U17" i="1"/>
  <c r="U26" i="1"/>
  <c r="U30" i="1"/>
  <c r="U28" i="1"/>
  <c r="U29" i="1"/>
  <c r="U31" i="1"/>
  <c r="U12" i="1"/>
  <c r="U10" i="1"/>
  <c r="U33" i="1" l="1"/>
  <c r="U8" i="1"/>
  <c r="U9" i="1" l="1"/>
</calcChain>
</file>

<file path=xl/comments1.xml><?xml version="1.0" encoding="utf-8"?>
<comments xmlns="http://schemas.openxmlformats.org/spreadsheetml/2006/main">
  <authors>
    <author>niels.hansen</author>
    <author>kerry.goodrich</author>
  </authors>
  <commentList>
    <comment ref="B1" authorId="0">
      <text>
        <r>
          <rPr>
            <sz val="10"/>
            <color indexed="81"/>
            <rFont val="Tahoma"/>
            <family val="2"/>
          </rPr>
          <t xml:space="preserve">*Any field with a Medium or High rating should be evaluated and conservation practices applied where possible.  When the rating is High manure shall not be applied on frozen/snow covered ground, or on saturated soil. 
Where a restrictive layer is present at &lt;2 feet, manure application levels will not be above agronomic rate for phosphorus.
Soil tests are required; The following refers to Soil Test Phosphorus (STP)
When STP &gt;150 Manure shall not be applied at any time.
When STP =100 - 150 Manure shall be applied at less than 50% of the agronomic rate 
When STP = 50 - 99 Manure shall be applied at the agronomic rate of phosphorus for crop removal. 
When STP &lt;50 manure can be applied based on Nitrogen needs of the crop. </t>
        </r>
      </text>
    </comment>
    <comment ref="C3" authorId="1">
      <text>
        <r>
          <rPr>
            <sz val="12"/>
            <color indexed="81"/>
            <rFont val="Tahoma"/>
            <family val="2"/>
          </rPr>
          <t>Enter the operator name if land is leased</t>
        </r>
        <r>
          <rPr>
            <sz val="8"/>
            <color indexed="81"/>
            <rFont val="Tahoma"/>
            <family val="2"/>
          </rPr>
          <t xml:space="preserve">
</t>
        </r>
      </text>
    </comment>
    <comment ref="X3" authorId="0">
      <text>
        <r>
          <rPr>
            <sz val="10"/>
            <color indexed="81"/>
            <rFont val="Tahoma"/>
            <family val="2"/>
          </rPr>
          <t>-  P can be applied at greater than crop requirements but not to exceed the Nitrogen requirements of the succeeding crop.</t>
        </r>
      </text>
    </comment>
    <comment ref="X4" authorId="0">
      <text>
        <r>
          <rPr>
            <b/>
            <sz val="10"/>
            <color indexed="81"/>
            <rFont val="Tahoma"/>
            <family val="2"/>
          </rPr>
          <t>P can be applied not to exceed crop requirement rate.</t>
        </r>
      </text>
    </comment>
    <comment ref="X5" authorId="0">
      <text>
        <r>
          <rPr>
            <b/>
            <sz val="10"/>
            <color indexed="81"/>
            <rFont val="Tahoma"/>
            <family val="2"/>
          </rPr>
          <t>P can be applied not to exceed crop removal rate 
         IF
the following are met:
1 -P drawdown strategy has been implemented.
2 -Practices to protect water quality have been implemented.
3 -Erosion by wind and water has been controlled.
 4 -Soil Test Phosphorus is less than 150.</t>
        </r>
      </text>
    </comment>
    <comment ref="B7" authorId="0">
      <text>
        <r>
          <rPr>
            <b/>
            <sz val="10"/>
            <color indexed="81"/>
            <rFont val="Tahoma"/>
            <family val="2"/>
          </rPr>
          <t>Clear these cells using the space bar. 
Do not use the 
Delete Key</t>
        </r>
        <r>
          <rPr>
            <sz val="10"/>
            <color indexed="81"/>
            <rFont val="Tahoma"/>
            <family val="2"/>
          </rPr>
          <t xml:space="preserve">
</t>
        </r>
      </text>
    </comment>
    <comment ref="C7" authorId="1">
      <text>
        <r>
          <rPr>
            <sz val="12"/>
            <color indexed="81"/>
            <rFont val="Tahoma"/>
            <family val="2"/>
          </rPr>
          <t xml:space="preserve">Enter a field number or name. </t>
        </r>
      </text>
    </comment>
    <comment ref="D7" authorId="1">
      <text>
        <r>
          <rPr>
            <sz val="12"/>
            <color indexed="81"/>
            <rFont val="Tahoma"/>
            <family val="2"/>
          </rPr>
          <t>Use the soil map unit that is nearest to the water source, that is most restrictive, or that is the dominant soil where more than one soil map unit exists in the field.</t>
        </r>
        <r>
          <rPr>
            <sz val="8"/>
            <color indexed="81"/>
            <rFont val="Tahoma"/>
            <family val="2"/>
          </rPr>
          <t xml:space="preserve">
</t>
        </r>
      </text>
    </comment>
    <comment ref="E7" authorId="1">
      <text>
        <r>
          <rPr>
            <sz val="12"/>
            <color indexed="81"/>
            <rFont val="Tahoma"/>
            <family val="2"/>
          </rPr>
          <t xml:space="preserve"> Water holding capacity for a 5-ft depth or for the depth of the soil limitation. See cell S3 for metric conversion</t>
        </r>
        <r>
          <rPr>
            <sz val="8"/>
            <color indexed="81"/>
            <rFont val="Tahoma"/>
            <family val="2"/>
          </rPr>
          <t xml:space="preserve">
</t>
        </r>
      </text>
    </comment>
    <comment ref="F7" authorId="1">
      <text>
        <r>
          <rPr>
            <sz val="12"/>
            <color indexed="81"/>
            <rFont val="Tahoma"/>
            <family val="2"/>
          </rPr>
          <t>This value is automatically calculated.</t>
        </r>
      </text>
    </comment>
    <comment ref="G7" authorId="1">
      <text>
        <r>
          <rPr>
            <sz val="12"/>
            <color indexed="81"/>
            <rFont val="Tahoma"/>
            <family val="2"/>
          </rPr>
          <t>This value is automatically calculated.</t>
        </r>
      </text>
    </comment>
    <comment ref="H7" authorId="1">
      <text>
        <r>
          <rPr>
            <sz val="12"/>
            <color indexed="81"/>
            <rFont val="Tahoma"/>
            <family val="2"/>
          </rPr>
          <t>&lt;2% = 2
2-3% = 4
4-5% = 8
&gt;5% = 12</t>
        </r>
        <r>
          <rPr>
            <sz val="8"/>
            <color indexed="81"/>
            <rFont val="Tahoma"/>
            <family val="2"/>
          </rPr>
          <t xml:space="preserve">
</t>
        </r>
      </text>
    </comment>
    <comment ref="I7" authorId="0">
      <text>
        <r>
          <rPr>
            <b/>
            <sz val="10"/>
            <color indexed="81"/>
            <rFont val="Tahoma"/>
            <family val="2"/>
          </rPr>
          <t>When STP &gt;150 = X
When STP &gt;100 = 12
When STP is 50-100 = 6
When STP &lt;50   = 2</t>
        </r>
      </text>
    </comment>
    <comment ref="J7" authorId="1">
      <text>
        <r>
          <rPr>
            <sz val="12"/>
            <color indexed="81"/>
            <rFont val="Tahoma"/>
            <family val="2"/>
          </rPr>
          <t xml:space="preserve">Group A = 2 low runoff potential/high infiltration
Group B = 4
Group C = 8
Group D = 12 high runoff potential/low infiltration
</t>
        </r>
        <r>
          <rPr>
            <sz val="8"/>
            <color indexed="81"/>
            <rFont val="Tahoma"/>
            <family val="2"/>
          </rPr>
          <t xml:space="preserve">
</t>
        </r>
      </text>
    </comment>
    <comment ref="K7" authorId="1">
      <text>
        <r>
          <rPr>
            <sz val="12"/>
            <color indexed="81"/>
            <rFont val="Tahoma"/>
            <family val="2"/>
          </rPr>
          <t xml:space="preserve">If water table, bedrock, and/or gravelly or coarse sandy layers are:
&gt;5 ft = 1
4-5 ft = 3
2-4 ft = 6
</t>
        </r>
        <r>
          <rPr>
            <u/>
            <sz val="12"/>
            <color indexed="81"/>
            <rFont val="Tahoma"/>
            <family val="2"/>
          </rPr>
          <t>&lt;</t>
        </r>
        <r>
          <rPr>
            <sz val="12"/>
            <color indexed="81"/>
            <rFont val="Tahoma"/>
            <family val="2"/>
          </rPr>
          <t xml:space="preserve"> 2 ft = 9</t>
        </r>
        <r>
          <rPr>
            <sz val="8"/>
            <color indexed="81"/>
            <rFont val="Tahoma"/>
            <family val="2"/>
          </rPr>
          <t xml:space="preserve">
</t>
        </r>
      </text>
    </comment>
    <comment ref="L7" authorId="1">
      <text>
        <r>
          <rPr>
            <sz val="12"/>
            <color indexed="81"/>
            <rFont val="Tahoma"/>
            <family val="2"/>
          </rPr>
          <t>Sprinkler, level border, smooth level field = 2
Graded border, flood irrigation w/out furrows = 4
Flood irrigation with furrows, rolling surface = 8
Uncontrolled flood, unlevel, hummocky = 12</t>
        </r>
      </text>
    </comment>
    <comment ref="M7" authorId="1">
      <text>
        <r>
          <rPr>
            <sz val="12"/>
            <color indexed="81"/>
            <rFont val="Tahoma"/>
            <family val="2"/>
          </rPr>
          <t>Good stands of alfalfa, grass, or a cover crop = 2
Grain stubble, plowed, or rough bare ground = 4
Corn stubble, or poor stands of perennial crops = 8
Smooth, bare ground =12</t>
        </r>
      </text>
    </comment>
    <comment ref="N7" authorId="1">
      <text>
        <r>
          <rPr>
            <sz val="12"/>
            <color indexed="81"/>
            <rFont val="Tahoma"/>
            <family val="2"/>
          </rPr>
          <t>Injected or incorporated at time of application = 2
Incorporated w/in 7 days by tillage or irrigation = 4
Incorporated w/in 3 months by tillage or irrigation = 8
Not incorporated, or incorporated after 3 months = 12</t>
        </r>
      </text>
    </comment>
    <comment ref="O7" authorId="1">
      <text>
        <r>
          <rPr>
            <sz val="12"/>
            <color indexed="81"/>
            <rFont val="Tahoma"/>
            <family val="2"/>
          </rPr>
          <t>Fully contained for a 10 year 24 hour storm =0
Flows into adjacently owned field = 4
Flows into internal field distribution ditch = 8
Flows directly to water or off owned property = 12</t>
        </r>
      </text>
    </comment>
    <comment ref="P7" authorId="0">
      <text>
        <r>
          <rPr>
            <sz val="12"/>
            <color indexed="81"/>
            <rFont val="Tahoma"/>
            <family val="2"/>
          </rPr>
          <t>Using the RUSLE 2 tool, Enter the annual Water Erosion value for the field under the current management practices for the "Before" condition, then the value for the "After" condition.</t>
        </r>
      </text>
    </comment>
    <comment ref="Q7" authorId="0">
      <text>
        <r>
          <rPr>
            <sz val="12"/>
            <color indexed="81"/>
            <rFont val="Tahoma"/>
            <family val="2"/>
          </rPr>
          <t>Using the Wind Ersoion Prediction System WEPS, Enter the annual wind  erosion value for the field under the current management practices for the "Before" condition, then the value for the "After" condition.</t>
        </r>
      </text>
    </comment>
    <comment ref="R7" authorId="1">
      <text>
        <r>
          <rPr>
            <sz val="12"/>
            <color indexed="81"/>
            <rFont val="Tahoma"/>
            <family val="2"/>
          </rPr>
          <t xml:space="preserve">&gt;1000 ft from water or ditch = 2
500-1000 ft from water or ditch = 4
Appropriate setback applied &lt; 500 ft = 8
Downstream edge of field directly adjacent to water or ditch = 12
</t>
        </r>
      </text>
    </comment>
    <comment ref="S7" authorId="0">
      <text>
        <r>
          <rPr>
            <b/>
            <sz val="10"/>
            <color indexed="81"/>
            <rFont val="Tahoma"/>
            <family val="2"/>
          </rPr>
          <t xml:space="preserve">
Manure must always be applied based on a current soil test and a current manure test.
Soil and manure tests are not used: 12
Application rate is based on Nitrogen need of the crop: 8
Application rate is based on the phosphorus need of the crop. 4 
Application rate is </t>
        </r>
        <r>
          <rPr>
            <b/>
            <i/>
            <u/>
            <sz val="10"/>
            <color indexed="81"/>
            <rFont val="Tahoma"/>
            <family val="2"/>
          </rPr>
          <t>less</t>
        </r>
        <r>
          <rPr>
            <b/>
            <sz val="10"/>
            <color indexed="81"/>
            <rFont val="Tahoma"/>
            <family val="2"/>
          </rPr>
          <t xml:space="preserve"> than the phosphorus need of the crop. 2
</t>
        </r>
      </text>
    </comment>
    <comment ref="U7" authorId="0">
      <text>
        <r>
          <rPr>
            <sz val="10"/>
            <color indexed="81"/>
            <rFont val="Tahoma"/>
            <family val="2"/>
          </rPr>
          <t xml:space="preserve">#########
 Means that manure should not be applied to this field.
</t>
        </r>
      </text>
    </comment>
    <comment ref="V7" authorId="1">
      <text>
        <r>
          <rPr>
            <sz val="12"/>
            <color indexed="81"/>
            <rFont val="Tahoma"/>
            <family val="2"/>
          </rPr>
          <t>Enter the practices that are already being implemented if doing a before index or the practices that will be implemented if doing an after index.</t>
        </r>
        <r>
          <rPr>
            <sz val="8"/>
            <color indexed="81"/>
            <rFont val="Tahoma"/>
            <family val="2"/>
          </rPr>
          <t xml:space="preserve">
</t>
        </r>
      </text>
    </comment>
  </commentList>
</comments>
</file>

<file path=xl/sharedStrings.xml><?xml version="1.0" encoding="utf-8"?>
<sst xmlns="http://schemas.openxmlformats.org/spreadsheetml/2006/main" count="518" uniqueCount="256">
  <si>
    <t>*Utah Manure Application Risk Index Worksheet</t>
  </si>
  <si>
    <t xml:space="preserve"> </t>
  </si>
  <si>
    <t>Altamont</t>
  </si>
  <si>
    <t xml:space="preserve">   Landowner:</t>
  </si>
  <si>
    <t>Milk Shake Dairy</t>
  </si>
  <si>
    <t>Logan 5 SW Exp. Farm</t>
  </si>
  <si>
    <t>Bear River Bay Refuge</t>
  </si>
  <si>
    <t xml:space="preserve">        Planner:</t>
  </si>
  <si>
    <t>Way Green</t>
  </si>
  <si>
    <t>Logan, Utah</t>
  </si>
  <si>
    <t>Beaver</t>
  </si>
  <si>
    <t>Brigham City</t>
  </si>
  <si>
    <t>Castle Dale</t>
  </si>
  <si>
    <t>Tract:</t>
  </si>
  <si>
    <t>Cedar City Airport</t>
  </si>
  <si>
    <t>Field:</t>
  </si>
  <si>
    <t>Circleville</t>
  </si>
  <si>
    <t xml:space="preserve"> Soil Symbol:</t>
  </si>
  <si>
    <t>Coalville</t>
  </si>
  <si>
    <t>Corinne</t>
  </si>
  <si>
    <t>Cutler Dam</t>
  </si>
  <si>
    <t>Distance</t>
  </si>
  <si>
    <t>Delta</t>
  </si>
  <si>
    <t>Irr. Type</t>
  </si>
  <si>
    <t>Duchesne</t>
  </si>
  <si>
    <t>Cover Type</t>
  </si>
  <si>
    <t>Elberta</t>
  </si>
  <si>
    <t>Containment</t>
  </si>
  <si>
    <t>Ft. Duchesne</t>
  </si>
  <si>
    <t>Restrict. Lay.</t>
  </si>
  <si>
    <t>Fairview</t>
  </si>
  <si>
    <t>Grantsville</t>
  </si>
  <si>
    <t>% Slope</t>
  </si>
  <si>
    <t>Heber</t>
  </si>
  <si>
    <t>Huntsville</t>
  </si>
  <si>
    <t>Jensen</t>
  </si>
  <si>
    <t>Kamas 3 NW</t>
  </si>
  <si>
    <t>Total Points:</t>
  </si>
  <si>
    <t>Practices to be implemented</t>
  </si>
  <si>
    <t>SB</t>
  </si>
  <si>
    <t>Incorporation</t>
  </si>
  <si>
    <t>Practices to be implemented:</t>
  </si>
  <si>
    <t>RUSLE2 Erosion</t>
  </si>
  <si>
    <t>WEPS Erosion</t>
  </si>
  <si>
    <t>Soil Test Phos</t>
  </si>
  <si>
    <t xml:space="preserve">CT </t>
  </si>
  <si>
    <t>Filter Strip</t>
  </si>
  <si>
    <t>FS</t>
  </si>
  <si>
    <t>IN</t>
  </si>
  <si>
    <t>Irrigation System Improvement</t>
  </si>
  <si>
    <t>IS</t>
  </si>
  <si>
    <t>Irrigation Water Management</t>
  </si>
  <si>
    <t>IWM</t>
  </si>
  <si>
    <t>Riparian Buffer</t>
  </si>
  <si>
    <t>RB</t>
  </si>
  <si>
    <t>Runoff Containment</t>
  </si>
  <si>
    <t>Restrictive Layer</t>
  </si>
  <si>
    <t>Setback</t>
  </si>
  <si>
    <t>Soil Moisture Management</t>
  </si>
  <si>
    <t>Tailwater Recovery System</t>
  </si>
  <si>
    <t>Wetland System</t>
  </si>
  <si>
    <t>RC</t>
  </si>
  <si>
    <t>RL</t>
  </si>
  <si>
    <t>SM</t>
  </si>
  <si>
    <t>TR</t>
  </si>
  <si>
    <t>WS</t>
  </si>
  <si>
    <t>Before</t>
  </si>
  <si>
    <t>After</t>
  </si>
  <si>
    <t>*Risk Level:</t>
  </si>
  <si>
    <t>Hydrologic Group</t>
  </si>
  <si>
    <t>Winter Precipitation:</t>
  </si>
  <si>
    <t>Weather Station:</t>
  </si>
  <si>
    <t>AWC (5ft):</t>
  </si>
  <si>
    <t>Date:</t>
  </si>
  <si>
    <t>Location:</t>
  </si>
  <si>
    <t>Table 3</t>
  </si>
  <si>
    <t>Winter Precipitation Values (from Utah Climate Handbook)</t>
  </si>
  <si>
    <t>Station</t>
  </si>
  <si>
    <t>Jan</t>
  </si>
  <si>
    <t>Feb</t>
  </si>
  <si>
    <t>*Mar</t>
  </si>
  <si>
    <t>*Oct</t>
  </si>
  <si>
    <t>Nov</t>
  </si>
  <si>
    <t>Dec</t>
  </si>
  <si>
    <t>Total</t>
  </si>
  <si>
    <t>Kanosh</t>
  </si>
  <si>
    <t>Lapoint</t>
  </si>
  <si>
    <t>Logan Experiment Sta.</t>
  </si>
  <si>
    <t>Logan Radio</t>
  </si>
  <si>
    <t>Logan USU</t>
  </si>
  <si>
    <t>Milford</t>
  </si>
  <si>
    <t>Minersville</t>
  </si>
  <si>
    <t>Morgan</t>
  </si>
  <si>
    <t>Moroni</t>
  </si>
  <si>
    <t>Ogden Sugar Factory</t>
  </si>
  <si>
    <t>Randolph</t>
  </si>
  <si>
    <t>Richfield Radio</t>
  </si>
  <si>
    <t>Richmond</t>
  </si>
  <si>
    <t>Riverdale</t>
  </si>
  <si>
    <t>Riverton</t>
  </si>
  <si>
    <t>Spanish Fork 1 S</t>
  </si>
  <si>
    <t>Tremonton</t>
  </si>
  <si>
    <t>Trenton/Lewiston</t>
  </si>
  <si>
    <t>* 1/2 avg. monthly precip.</t>
  </si>
  <si>
    <t>Adjusted AWC rating</t>
  </si>
  <si>
    <t>Application Rate</t>
  </si>
  <si>
    <t xml:space="preserve">Low Risk </t>
  </si>
  <si>
    <t>Moderate risk</t>
  </si>
  <si>
    <t>High risk</t>
  </si>
  <si>
    <t>Saturated/Snow Covered/ Frozen Ground Application Parameters</t>
  </si>
  <si>
    <t>Scoreing</t>
  </si>
  <si>
    <t>Lowest Possible score</t>
  </si>
  <si>
    <t>highest ossible score</t>
  </si>
  <si>
    <t>spread between low and high</t>
  </si>
  <si>
    <t>one third of points</t>
  </si>
  <si>
    <t>one third of points plus Lowest Possible score</t>
  </si>
  <si>
    <t>Scoring</t>
  </si>
  <si>
    <t>Lowest possible score</t>
  </si>
  <si>
    <t>highest possible score</t>
  </si>
  <si>
    <t>one third of points plus Lowest possible score</t>
  </si>
  <si>
    <t>The single factor that should be able to change many fields to a low risk category is “containment”. I am comfortable with winter application on most fields if there is a containment dike that will contain the water of a 10 year storm for 24 hours with no percolation. That would look like pooling six inches of water on a solid frozen sheet. The dike needs an overflow so it doesn’t get washed out in spectacular events, and allowing only six inches of water (the water holding capacity of many good agricultural fields ranges from 3 to 10) would insure that in the summer the pooled water would not kill a standing crop. Most crops can handle 12 hours of inundation during the growing season. They can go longer when they are dormant.</t>
  </si>
  <si>
    <t>Because containment is so important we could re-evaluate it to actually have considerable negative points. I would like the ideal dairy or wet system to have one “contained” field with low soil test phosphorus to be the emergency location where liquids go when problems arise.</t>
  </si>
  <si>
    <t>The short dike would not be a problem on sprinkler irrigated fields. On furrow or border irrigated systems the dike would interfere with conventional irrigation because it would not allow runoff. NRCS can assist in designing “Blocked End” systems on fields with a small slope, where the application of water is engineered so carefully that, while the water ponds on the bottom of the field, it soaks in as part of the normal irrigation.</t>
  </si>
  <si>
    <t>Containment on fields will cause push-back but it is something that makes winter application environmentally safe.</t>
  </si>
  <si>
    <t>I arbitrarily assigned points to each category from 2 for a low to 12 for high, with each category having equal weight. That gave me the following ranges.</t>
  </si>
  <si>
    <t>Back</t>
  </si>
  <si>
    <t>Table 4 - Field Vulnerability for Manure Loss</t>
  </si>
  <si>
    <t xml:space="preserve">  Manure</t>
  </si>
  <si>
    <t xml:space="preserve">  Application</t>
  </si>
  <si>
    <t xml:space="preserve">  Risk Index       </t>
  </si>
  <si>
    <t>General Interpretation of Utah Manure Application Risk Index</t>
  </si>
  <si>
    <r>
      <t>LOW</t>
    </r>
    <r>
      <rPr>
        <sz val="12"/>
        <rFont val="Times New Roman"/>
        <family val="1"/>
      </rPr>
      <t xml:space="preserve"> potential for manure movement from the field.  The chance of organic</t>
    </r>
  </si>
  <si>
    <t>material and nutrients’ getting into surface or groundwater is very small.</t>
  </si>
  <si>
    <t>Buffers, setbacks, improved irrigation and manure application practices,</t>
  </si>
  <si>
    <t>runoff containment/control alone or in combination will reduce impact.</t>
  </si>
  <si>
    <t>These fields have good potential for year round spreading provided</t>
  </si>
  <si>
    <t>best management practices are in place.</t>
  </si>
  <si>
    <r>
      <t>MEDIUM</t>
    </r>
    <r>
      <rPr>
        <sz val="12"/>
        <rFont val="Times New Roman"/>
        <family val="1"/>
      </rPr>
      <t xml:space="preserve"> potential for manure movement from the field.  The chance</t>
    </r>
  </si>
  <si>
    <t>of organic material and nutrients getting to surface or ground water is very</t>
  </si>
  <si>
    <t>likely.  A combination of buffers, setbacks, improved irrigation practices,</t>
  </si>
  <si>
    <t>and/or application practices, will lower the impact.  These fields have very</t>
  </si>
  <si>
    <t>limited or no potential for winter spreading.</t>
  </si>
  <si>
    <r>
      <t>HIGH</t>
    </r>
    <r>
      <rPr>
        <sz val="12"/>
        <rFont val="Times New Roman"/>
        <family val="1"/>
      </rPr>
      <t xml:space="preserve"> potential for manure movement from the field and an adverse</t>
    </r>
  </si>
  <si>
    <t>impact on surface and ground water.  Manure should not be applied</t>
  </si>
  <si>
    <t>unless best management practices are in place.  Manure should not</t>
  </si>
  <si>
    <t>be spread during the winter.</t>
  </si>
  <si>
    <t>Table 1</t>
  </si>
  <si>
    <t>Winter Application Parameters*</t>
  </si>
  <si>
    <t>Field Features</t>
  </si>
  <si>
    <t>Very Low Risk</t>
  </si>
  <si>
    <t>Low Risk</t>
  </si>
  <si>
    <t>Medium Risk</t>
  </si>
  <si>
    <t>High Risk**</t>
  </si>
  <si>
    <t xml:space="preserve">Points: </t>
  </si>
  <si>
    <t>Distance to water</t>
  </si>
  <si>
    <t>&gt; 1000 feet from</t>
  </si>
  <si>
    <t>500-1000 feet</t>
  </si>
  <si>
    <t>Appropriate</t>
  </si>
  <si>
    <t>Downstream edge</t>
  </si>
  <si>
    <t>water or ditch</t>
  </si>
  <si>
    <t>from water or</t>
  </si>
  <si>
    <r>
      <t>setback applied</t>
    </r>
    <r>
      <rPr>
        <vertAlign val="superscript"/>
        <sz val="12"/>
        <rFont val="Times New Roman"/>
        <family val="1"/>
      </rPr>
      <t>1</t>
    </r>
  </si>
  <si>
    <t>of field adjacent</t>
  </si>
  <si>
    <t>ditch</t>
  </si>
  <si>
    <t>(&lt; 500 ft)</t>
  </si>
  <si>
    <t>to water or ditch</t>
  </si>
  <si>
    <t>Irrigation Type/</t>
  </si>
  <si>
    <t>Sprinkler, level</t>
  </si>
  <si>
    <t>Graded border,</t>
  </si>
  <si>
    <t>Flood irrigation</t>
  </si>
  <si>
    <t>Uncontrolled</t>
  </si>
  <si>
    <t>Field Surface</t>
  </si>
  <si>
    <t>border, smooth</t>
  </si>
  <si>
    <t>with furrows,</t>
  </si>
  <si>
    <t>flood, unlevel,</t>
  </si>
  <si>
    <t>level field</t>
  </si>
  <si>
    <t>w/out furrows</t>
  </si>
  <si>
    <t>rolling surface</t>
  </si>
  <si>
    <t>hummocky</t>
  </si>
  <si>
    <t>Good stands of</t>
  </si>
  <si>
    <t>Grain stubble,</t>
  </si>
  <si>
    <t>Corn stubble, or</t>
  </si>
  <si>
    <t>Smooth, bare</t>
  </si>
  <si>
    <t>alfalfa, grass, or</t>
  </si>
  <si>
    <t>plowed, or rough</t>
  </si>
  <si>
    <t>poor stands of</t>
  </si>
  <si>
    <t>ground</t>
  </si>
  <si>
    <t>a cover crop</t>
  </si>
  <si>
    <t>bare ground</t>
  </si>
  <si>
    <t>perennial crops</t>
  </si>
  <si>
    <t>Fully contained</t>
  </si>
  <si>
    <t>Flows into</t>
  </si>
  <si>
    <t>Flows directly</t>
  </si>
  <si>
    <t>for a 10 year</t>
  </si>
  <si>
    <t>adjacently</t>
  </si>
  <si>
    <t>internal field</t>
  </si>
  <si>
    <t>to water or off</t>
  </si>
  <si>
    <t>24 hour storm</t>
  </si>
  <si>
    <t>owned field</t>
  </si>
  <si>
    <t>distribution ditch</t>
  </si>
  <si>
    <t>owned property</t>
  </si>
  <si>
    <r>
      <t>Soil Limitations</t>
    </r>
    <r>
      <rPr>
        <b/>
        <vertAlign val="superscript"/>
        <sz val="12"/>
        <rFont val="Times New Roman"/>
        <family val="1"/>
      </rPr>
      <t>2</t>
    </r>
  </si>
  <si>
    <t>&gt; 5 ft</t>
  </si>
  <si>
    <t>4-5 ft</t>
  </si>
  <si>
    <t>2-4 ft</t>
  </si>
  <si>
    <t>&lt;=2 ft</t>
  </si>
  <si>
    <r>
      <t>Hydrologic Group</t>
    </r>
    <r>
      <rPr>
        <b/>
        <vertAlign val="superscript"/>
        <sz val="12"/>
        <rFont val="Times New Roman"/>
        <family val="1"/>
      </rPr>
      <t>3</t>
    </r>
  </si>
  <si>
    <t>A</t>
  </si>
  <si>
    <t>B</t>
  </si>
  <si>
    <t>C</t>
  </si>
  <si>
    <t>D</t>
  </si>
  <si>
    <t>&lt; 2%</t>
  </si>
  <si>
    <t>2-3%</t>
  </si>
  <si>
    <t>4-5%</t>
  </si>
  <si>
    <t>&gt; 5%</t>
  </si>
  <si>
    <r>
      <t>Adjusted AWC</t>
    </r>
    <r>
      <rPr>
        <b/>
        <vertAlign val="superscript"/>
        <sz val="12"/>
        <rFont val="Times New Roman"/>
        <family val="1"/>
      </rPr>
      <t>4</t>
    </r>
  </si>
  <si>
    <t>&gt; 10"</t>
  </si>
  <si>
    <t>7.5-10"</t>
  </si>
  <si>
    <t>2.5-7.5"</t>
  </si>
  <si>
    <t>&lt; 2.5"</t>
  </si>
  <si>
    <t>Winter Precipitation</t>
  </si>
  <si>
    <t>&lt; Adjusted AWC</t>
  </si>
  <si>
    <t>0 to 2" over</t>
  </si>
  <si>
    <t>2 to 3" over</t>
  </si>
  <si>
    <t>&gt; 3" over</t>
  </si>
  <si>
    <t>(Oct. to Mar.)</t>
  </si>
  <si>
    <t>Adjusted AWC</t>
  </si>
  <si>
    <t>* Applicable only to irrigated lands.</t>
  </si>
  <si>
    <t>**Individual high-risk features should be evaluated and conservation practices applied where possible.</t>
  </si>
  <si>
    <t>1.  Manure is applied according to an appropriate setback as shown in the following table.  Where</t>
  </si>
  <si>
    <t xml:space="preserve">     vegetative buffers such as filter strips or riparian buffers are applied, setback distances may be</t>
  </si>
  <si>
    <t xml:space="preserve">     lowered as shown in the table.  Setback distances shown are from the edge of the field when</t>
  </si>
  <si>
    <t xml:space="preserve">     buffers are not used or from the edge of the buffer.</t>
  </si>
  <si>
    <t>Setback Distance w/out Buffers</t>
  </si>
  <si>
    <t>Setback Distance with Buffers</t>
  </si>
  <si>
    <t>%Slope</t>
  </si>
  <si>
    <t>Without Furrows</t>
  </si>
  <si>
    <t>With Furrows</t>
  </si>
  <si>
    <t>0-1</t>
  </si>
  <si>
    <t>1-2</t>
  </si>
  <si>
    <t>2-3</t>
  </si>
  <si>
    <t>3-4</t>
  </si>
  <si>
    <t>4-5</t>
  </si>
  <si>
    <t>2.  Restrictive layers include water table, bedrock, and gravelly or sandy layers in the rooting depth.</t>
  </si>
  <si>
    <t>3.  Use the soil map unit that is nearest to the water source, that is most restrictive, or that is the</t>
  </si>
  <si>
    <t xml:space="preserve">     dominant soil where more than one soil map unit exists in the field.</t>
  </si>
  <si>
    <t>4. Multiply the available water holding capacity for a 5-ft depth or for the depth of the soil</t>
  </si>
  <si>
    <t xml:space="preserve">    limitation by 75%.</t>
  </si>
  <si>
    <t xml:space="preserve">  &lt; 63</t>
  </si>
  <si>
    <t xml:space="preserve">  64-103</t>
  </si>
  <si>
    <t>&gt;103</t>
  </si>
  <si>
    <t>#####</t>
  </si>
  <si>
    <t>Phosphorus is too high do not apply manure until soil test shows P&lt; 150</t>
  </si>
  <si>
    <t>inches</t>
  </si>
  <si>
    <t>centimeters =</t>
  </si>
  <si>
    <t>Winter Precip. Score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</si>
</sst>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d\,\ yyyy"/>
  </numFmts>
  <fonts count="29" x14ac:knownFonts="1">
    <font>
      <sz val="11"/>
      <color theme="1"/>
      <name val="Calibri"/>
      <family val="2"/>
      <scheme val="minor"/>
    </font>
    <font>
      <b/>
      <sz val="12"/>
      <name val="Times New Roman"/>
      <family val="1"/>
    </font>
    <font>
      <sz val="12"/>
      <color indexed="81"/>
      <name val="Tahoma"/>
      <family val="2"/>
    </font>
    <font>
      <sz val="8"/>
      <color indexed="81"/>
      <name val="Tahoma"/>
      <family val="2"/>
    </font>
    <font>
      <u/>
      <sz val="12"/>
      <color indexed="81"/>
      <name val="Tahoma"/>
      <family val="2"/>
    </font>
    <font>
      <b/>
      <sz val="10"/>
      <color indexed="81"/>
      <name val="Tahoma"/>
      <family val="2"/>
    </font>
    <font>
      <sz val="10"/>
      <color indexed="81"/>
      <name val="Tahoma"/>
      <family val="2"/>
    </font>
    <font>
      <b/>
      <sz val="14"/>
      <name val="Calibri"/>
      <family val="2"/>
      <scheme val="minor"/>
    </font>
    <font>
      <b/>
      <sz val="12"/>
      <name val="Calibri"/>
      <family val="2"/>
      <scheme val="minor"/>
    </font>
    <font>
      <b/>
      <i/>
      <u/>
      <sz val="10"/>
      <color indexed="81"/>
      <name val="Tahoma"/>
      <family val="2"/>
    </font>
    <font>
      <sz val="12"/>
      <color theme="1"/>
      <name val="Times New Roman"/>
      <family val="1"/>
    </font>
    <font>
      <sz val="12"/>
      <color rgb="FF002060"/>
      <name val="Times New Roman"/>
      <family val="1"/>
    </font>
    <font>
      <u/>
      <sz val="11"/>
      <color theme="10"/>
      <name val="Calibri"/>
      <family val="2"/>
    </font>
    <font>
      <sz val="9"/>
      <color theme="1"/>
      <name val="Arial"/>
      <family val="2"/>
    </font>
    <font>
      <sz val="11"/>
      <name val="Calibri"/>
      <family val="2"/>
      <scheme val="minor"/>
    </font>
    <font>
      <b/>
      <u/>
      <sz val="12"/>
      <name val="Times New Roman"/>
      <family val="1"/>
    </font>
    <font>
      <sz val="12"/>
      <name val="Times New Roman"/>
      <family val="1"/>
    </font>
    <font>
      <b/>
      <sz val="14"/>
      <name val="Times New Roman"/>
      <family val="1"/>
    </font>
    <font>
      <vertAlign val="superscript"/>
      <sz val="12"/>
      <name val="Times New Roman"/>
      <family val="1"/>
    </font>
    <font>
      <b/>
      <vertAlign val="superscript"/>
      <sz val="12"/>
      <name val="Times New Roman"/>
      <family val="1"/>
    </font>
    <font>
      <b/>
      <sz val="11"/>
      <name val="Calibri"/>
      <family val="2"/>
      <scheme val="minor"/>
    </font>
    <font>
      <sz val="10"/>
      <color theme="1"/>
      <name val="Calibri"/>
      <family val="2"/>
      <scheme val="minor"/>
    </font>
    <font>
      <b/>
      <sz val="10"/>
      <name val="Calibri"/>
      <family val="2"/>
      <scheme val="minor"/>
    </font>
    <font>
      <sz val="10"/>
      <color theme="2" tint="-9.9978637043366805E-2"/>
      <name val="Calibri"/>
      <family val="2"/>
      <scheme val="minor"/>
    </font>
    <font>
      <sz val="10"/>
      <name val="Calibri"/>
      <family val="2"/>
      <scheme val="minor"/>
    </font>
    <font>
      <u/>
      <sz val="10"/>
      <color theme="10"/>
      <name val="Calibri"/>
      <family val="2"/>
    </font>
    <font>
      <b/>
      <sz val="10"/>
      <color theme="1"/>
      <name val="Calibri"/>
      <family val="2"/>
      <scheme val="minor"/>
    </font>
    <font>
      <b/>
      <sz val="10"/>
      <color theme="3" tint="-0.249977111117893"/>
      <name val="Calibri"/>
      <family val="2"/>
      <scheme val="minor"/>
    </font>
    <font>
      <sz val="10"/>
      <color theme="3" tint="-0.249977111117893"/>
      <name val="Calibri"/>
      <family val="2"/>
      <scheme val="minor"/>
    </font>
  </fonts>
  <fills count="1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2"/>
        <bgColor indexed="64"/>
      </patternFill>
    </fill>
    <fill>
      <patternFill patternType="solid">
        <fgColor theme="0"/>
        <bgColor indexed="64"/>
      </patternFill>
    </fill>
    <fill>
      <patternFill patternType="solid">
        <fgColor theme="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indexed="8"/>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22"/>
      </right>
      <top style="thin">
        <color indexed="22"/>
      </top>
      <bottom/>
      <diagonal/>
    </border>
    <border>
      <left/>
      <right style="thin">
        <color indexed="22"/>
      </right>
      <top/>
      <bottom/>
      <diagonal/>
    </border>
    <border>
      <left/>
      <right style="thin">
        <color indexed="22"/>
      </right>
      <top/>
      <bottom style="thin">
        <color indexed="22"/>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22"/>
      </left>
      <right style="thin">
        <color indexed="22"/>
      </right>
      <top/>
      <bottom style="thin">
        <color indexed="22"/>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12" fillId="0" borderId="0" applyNumberFormat="0" applyFill="0" applyBorder="0" applyAlignment="0" applyProtection="0">
      <alignment vertical="top"/>
      <protection locked="0"/>
    </xf>
  </cellStyleXfs>
  <cellXfs count="197">
    <xf numFmtId="0" fontId="0" fillId="0" borderId="0" xfId="0"/>
    <xf numFmtId="0" fontId="0" fillId="2" borderId="1" xfId="0" applyFill="1" applyBorder="1"/>
    <xf numFmtId="0" fontId="0" fillId="2" borderId="0" xfId="0" applyFill="1"/>
    <xf numFmtId="0" fontId="0" fillId="2" borderId="0" xfId="0" applyFill="1" applyBorder="1"/>
    <xf numFmtId="0" fontId="1" fillId="3" borderId="15" xfId="0" applyFont="1" applyFill="1" applyBorder="1"/>
    <xf numFmtId="0" fontId="1" fillId="3" borderId="15" xfId="0" applyFont="1" applyFill="1" applyBorder="1" applyAlignment="1">
      <alignment horizontal="center"/>
    </xf>
    <xf numFmtId="0" fontId="0" fillId="2" borderId="2" xfId="0" applyFill="1" applyBorder="1"/>
    <xf numFmtId="2" fontId="0" fillId="2" borderId="2" xfId="0" applyNumberFormat="1" applyFill="1" applyBorder="1" applyAlignment="1">
      <alignment horizontal="center"/>
    </xf>
    <xf numFmtId="164" fontId="0" fillId="2" borderId="2" xfId="0" applyNumberFormat="1" applyFill="1" applyBorder="1" applyAlignment="1">
      <alignment horizontal="center"/>
    </xf>
    <xf numFmtId="0" fontId="0" fillId="3" borderId="1" xfId="0" applyFill="1" applyBorder="1"/>
    <xf numFmtId="2" fontId="0" fillId="3" borderId="1" xfId="0" applyNumberFormat="1" applyFill="1" applyBorder="1" applyAlignment="1">
      <alignment horizontal="center"/>
    </xf>
    <xf numFmtId="164" fontId="0" fillId="3" borderId="2" xfId="0" applyNumberFormat="1" applyFill="1" applyBorder="1" applyAlignment="1">
      <alignment horizontal="center"/>
    </xf>
    <xf numFmtId="2" fontId="0" fillId="2" borderId="1" xfId="0" applyNumberFormat="1" applyFill="1" applyBorder="1" applyAlignment="1">
      <alignment horizontal="center"/>
    </xf>
    <xf numFmtId="2" fontId="0" fillId="2" borderId="0" xfId="0" applyNumberFormat="1" applyFill="1" applyBorder="1" applyAlignment="1">
      <alignment horizontal="center"/>
    </xf>
    <xf numFmtId="164" fontId="0" fillId="2" borderId="0" xfId="0" applyNumberFormat="1" applyFill="1" applyBorder="1" applyAlignment="1">
      <alignment horizontal="center"/>
    </xf>
    <xf numFmtId="0" fontId="0" fillId="0" borderId="0" xfId="0" applyAlignment="1"/>
    <xf numFmtId="0" fontId="11" fillId="5" borderId="0" xfId="0" applyFont="1" applyFill="1"/>
    <xf numFmtId="1" fontId="11" fillId="5" borderId="0" xfId="0" applyNumberFormat="1" applyFont="1" applyFill="1"/>
    <xf numFmtId="0" fontId="11" fillId="5" borderId="0" xfId="0" applyFont="1" applyFill="1" applyAlignment="1"/>
    <xf numFmtId="0" fontId="11" fillId="5" borderId="0" xfId="0" applyFont="1" applyFill="1" applyAlignment="1">
      <alignment horizontal="right"/>
    </xf>
    <xf numFmtId="0" fontId="10" fillId="5" borderId="0" xfId="0" applyFont="1" applyFill="1" applyAlignment="1"/>
    <xf numFmtId="0" fontId="13" fillId="0" borderId="0" xfId="0" applyFont="1"/>
    <xf numFmtId="0" fontId="7" fillId="2" borderId="0" xfId="0" applyFont="1" applyFill="1" applyBorder="1" applyAlignment="1" applyProtection="1"/>
    <xf numFmtId="0" fontId="12" fillId="0" borderId="0" xfId="1" applyAlignment="1" applyProtection="1"/>
    <xf numFmtId="0" fontId="1" fillId="3" borderId="19" xfId="0" applyFont="1" applyFill="1" applyBorder="1" applyAlignment="1">
      <alignment horizontal="left"/>
    </xf>
    <xf numFmtId="0" fontId="15" fillId="3" borderId="0" xfId="0" applyFont="1" applyFill="1" applyBorder="1" applyAlignment="1">
      <alignment horizontal="left"/>
    </xf>
    <xf numFmtId="0" fontId="1" fillId="3" borderId="20" xfId="0" applyFont="1" applyFill="1" applyBorder="1" applyAlignment="1">
      <alignment horizontal="left"/>
    </xf>
    <xf numFmtId="0" fontId="1" fillId="11" borderId="0" xfId="0" applyFont="1" applyFill="1" applyBorder="1"/>
    <xf numFmtId="0" fontId="1" fillId="11" borderId="20" xfId="0" applyFont="1" applyFill="1" applyBorder="1"/>
    <xf numFmtId="0" fontId="0" fillId="11" borderId="19" xfId="0" applyFill="1" applyBorder="1"/>
    <xf numFmtId="0" fontId="0" fillId="11" borderId="0" xfId="0" applyFill="1" applyBorder="1"/>
    <xf numFmtId="0" fontId="0" fillId="11" borderId="20" xfId="0" applyFill="1" applyBorder="1"/>
    <xf numFmtId="0" fontId="0" fillId="0" borderId="23" xfId="0" applyBorder="1"/>
    <xf numFmtId="0" fontId="0" fillId="0" borderId="24" xfId="0" applyBorder="1"/>
    <xf numFmtId="0" fontId="16" fillId="2" borderId="4" xfId="0" applyFont="1" applyFill="1" applyBorder="1"/>
    <xf numFmtId="0" fontId="0" fillId="0" borderId="25" xfId="0" applyBorder="1"/>
    <xf numFmtId="0" fontId="1" fillId="10" borderId="2" xfId="0" applyFont="1" applyFill="1" applyBorder="1" applyAlignment="1">
      <alignment horizontal="center"/>
    </xf>
    <xf numFmtId="0" fontId="1" fillId="12" borderId="1" xfId="0" applyFont="1" applyFill="1" applyBorder="1" applyAlignment="1">
      <alignment horizontal="right"/>
    </xf>
    <xf numFmtId="0" fontId="1" fillId="12" borderId="1" xfId="0" applyFont="1" applyFill="1" applyBorder="1" applyAlignment="1">
      <alignment horizontal="center"/>
    </xf>
    <xf numFmtId="0" fontId="1" fillId="10" borderId="9" xfId="0" applyFont="1" applyFill="1" applyBorder="1"/>
    <xf numFmtId="0" fontId="16" fillId="3" borderId="3" xfId="0" applyFont="1" applyFill="1" applyBorder="1" applyAlignment="1">
      <alignment horizontal="center"/>
    </xf>
    <xf numFmtId="0" fontId="16" fillId="3" borderId="10" xfId="0" applyFont="1" applyFill="1" applyBorder="1" applyAlignment="1">
      <alignment horizontal="center"/>
    </xf>
    <xf numFmtId="0" fontId="1" fillId="10" borderId="6" xfId="0" applyFont="1" applyFill="1" applyBorder="1"/>
    <xf numFmtId="0" fontId="16" fillId="3" borderId="26" xfId="0" applyFont="1" applyFill="1" applyBorder="1" applyAlignment="1">
      <alignment horizontal="center"/>
    </xf>
    <xf numFmtId="0" fontId="16" fillId="3" borderId="0" xfId="0" applyFont="1" applyFill="1" applyBorder="1" applyAlignment="1">
      <alignment horizontal="center"/>
    </xf>
    <xf numFmtId="0" fontId="0" fillId="0" borderId="0" xfId="0" applyBorder="1"/>
    <xf numFmtId="0" fontId="1" fillId="10" borderId="27" xfId="0" applyFont="1" applyFill="1" applyBorder="1"/>
    <xf numFmtId="0" fontId="16" fillId="3" borderId="2" xfId="0" applyFont="1" applyFill="1" applyBorder="1" applyAlignment="1">
      <alignment horizontal="center"/>
    </xf>
    <xf numFmtId="0" fontId="16" fillId="3" borderId="4" xfId="0" applyFont="1" applyFill="1" applyBorder="1" applyAlignment="1">
      <alignment horizontal="center"/>
    </xf>
    <xf numFmtId="0" fontId="1" fillId="10" borderId="3" xfId="0" applyFont="1" applyFill="1" applyBorder="1"/>
    <xf numFmtId="0" fontId="16" fillId="3" borderId="9" xfId="0" applyFont="1" applyFill="1" applyBorder="1" applyAlignment="1">
      <alignment horizontal="center"/>
    </xf>
    <xf numFmtId="0" fontId="1" fillId="10" borderId="26" xfId="0" applyFont="1" applyFill="1" applyBorder="1"/>
    <xf numFmtId="0" fontId="16" fillId="3" borderId="6" xfId="0" applyFont="1" applyFill="1" applyBorder="1" applyAlignment="1">
      <alignment horizontal="center"/>
    </xf>
    <xf numFmtId="0" fontId="1" fillId="10" borderId="2" xfId="0" applyFont="1" applyFill="1" applyBorder="1"/>
    <xf numFmtId="0" fontId="16" fillId="3" borderId="27" xfId="0" applyFont="1" applyFill="1" applyBorder="1" applyAlignment="1">
      <alignment horizontal="center"/>
    </xf>
    <xf numFmtId="0" fontId="1" fillId="10" borderId="1" xfId="0" applyFont="1" applyFill="1" applyBorder="1"/>
    <xf numFmtId="0" fontId="16" fillId="3" borderId="1" xfId="0" applyFont="1" applyFill="1" applyBorder="1" applyAlignment="1">
      <alignment horizontal="center"/>
    </xf>
    <xf numFmtId="0" fontId="16" fillId="2" borderId="10" xfId="0" applyFont="1" applyFill="1" applyBorder="1"/>
    <xf numFmtId="0" fontId="16" fillId="2" borderId="10" xfId="0" applyFont="1" applyFill="1" applyBorder="1" applyAlignment="1">
      <alignment horizontal="center"/>
    </xf>
    <xf numFmtId="0" fontId="16" fillId="2" borderId="0" xfId="0" applyFont="1" applyFill="1" applyBorder="1"/>
    <xf numFmtId="0" fontId="16" fillId="2" borderId="0" xfId="0" applyFont="1" applyFill="1" applyBorder="1" applyAlignment="1">
      <alignment horizontal="center"/>
    </xf>
    <xf numFmtId="0" fontId="16" fillId="10" borderId="28" xfId="0" applyFont="1" applyFill="1" applyBorder="1"/>
    <xf numFmtId="0" fontId="1" fillId="10" borderId="31" xfId="0" applyFont="1" applyFill="1" applyBorder="1" applyAlignment="1">
      <alignment horizontal="center"/>
    </xf>
    <xf numFmtId="0" fontId="1" fillId="3" borderId="32" xfId="0" applyFont="1" applyFill="1" applyBorder="1" applyAlignment="1">
      <alignment horizontal="center"/>
    </xf>
    <xf numFmtId="0" fontId="1" fillId="11" borderId="33" xfId="0" applyFont="1" applyFill="1" applyBorder="1" applyAlignment="1">
      <alignment horizontal="center"/>
    </xf>
    <xf numFmtId="49" fontId="16" fillId="10" borderId="34" xfId="0" applyNumberFormat="1" applyFont="1" applyFill="1" applyBorder="1" applyAlignment="1">
      <alignment horizontal="center"/>
    </xf>
    <xf numFmtId="0" fontId="16" fillId="3" borderId="35" xfId="0" applyFont="1" applyFill="1" applyBorder="1" applyAlignment="1">
      <alignment horizontal="center"/>
    </xf>
    <xf numFmtId="0" fontId="16" fillId="11" borderId="36" xfId="0" applyFont="1" applyFill="1" applyBorder="1" applyAlignment="1">
      <alignment horizontal="center"/>
    </xf>
    <xf numFmtId="49" fontId="16" fillId="10" borderId="37" xfId="0" applyNumberFormat="1" applyFont="1" applyFill="1" applyBorder="1" applyAlignment="1">
      <alignment horizontal="center"/>
    </xf>
    <xf numFmtId="0" fontId="16" fillId="3" borderId="38" xfId="0" applyFont="1" applyFill="1" applyBorder="1" applyAlignment="1">
      <alignment horizontal="center"/>
    </xf>
    <xf numFmtId="0" fontId="16" fillId="11" borderId="39" xfId="0" applyFont="1" applyFill="1" applyBorder="1" applyAlignment="1">
      <alignment horizontal="center"/>
    </xf>
    <xf numFmtId="49" fontId="16" fillId="10" borderId="40" xfId="0" applyNumberFormat="1" applyFont="1" applyFill="1" applyBorder="1" applyAlignment="1">
      <alignment horizontal="center"/>
    </xf>
    <xf numFmtId="0" fontId="16" fillId="3" borderId="32" xfId="0" applyFont="1" applyFill="1" applyBorder="1" applyAlignment="1">
      <alignment horizontal="center"/>
    </xf>
    <xf numFmtId="0" fontId="16" fillId="11" borderId="33" xfId="0" applyFont="1" applyFill="1" applyBorder="1" applyAlignment="1">
      <alignment horizontal="center"/>
    </xf>
    <xf numFmtId="0" fontId="0" fillId="2" borderId="41" xfId="0" applyFill="1" applyBorder="1"/>
    <xf numFmtId="0" fontId="1" fillId="13" borderId="0" xfId="0" applyFont="1" applyFill="1" applyBorder="1"/>
    <xf numFmtId="0" fontId="1" fillId="13" borderId="20" xfId="0" applyFont="1" applyFill="1" applyBorder="1"/>
    <xf numFmtId="0" fontId="0" fillId="13" borderId="19" xfId="0" applyFill="1" applyBorder="1"/>
    <xf numFmtId="0" fontId="0" fillId="13" borderId="0" xfId="0" applyFill="1" applyBorder="1"/>
    <xf numFmtId="0" fontId="0" fillId="13" borderId="20" xfId="0" applyFill="1" applyBorder="1"/>
    <xf numFmtId="0" fontId="1" fillId="14" borderId="0" xfId="0" applyFont="1" applyFill="1" applyBorder="1"/>
    <xf numFmtId="0" fontId="1" fillId="14" borderId="20" xfId="0" applyFont="1" applyFill="1" applyBorder="1"/>
    <xf numFmtId="0" fontId="0" fillId="14" borderId="19" xfId="0" applyFill="1" applyBorder="1"/>
    <xf numFmtId="0" fontId="0" fillId="14" borderId="0" xfId="0" applyFill="1" applyBorder="1"/>
    <xf numFmtId="0" fontId="0" fillId="14" borderId="20" xfId="0" applyFill="1" applyBorder="1"/>
    <xf numFmtId="0" fontId="0" fillId="14" borderId="21" xfId="0" applyFill="1" applyBorder="1"/>
    <xf numFmtId="0" fontId="0" fillId="14" borderId="13" xfId="0" applyFill="1" applyBorder="1"/>
    <xf numFmtId="0" fontId="0" fillId="14" borderId="22" xfId="0" applyFill="1" applyBorder="1"/>
    <xf numFmtId="0" fontId="1" fillId="10" borderId="19" xfId="0" applyFont="1" applyFill="1" applyBorder="1" applyAlignment="1">
      <alignment horizontal="center"/>
    </xf>
    <xf numFmtId="0" fontId="1" fillId="13" borderId="19" xfId="0" applyFont="1" applyFill="1" applyBorder="1" applyAlignment="1">
      <alignment horizontal="center"/>
    </xf>
    <xf numFmtId="0" fontId="1" fillId="14" borderId="19" xfId="0" applyFont="1" applyFill="1" applyBorder="1" applyAlignment="1">
      <alignment horizontal="center"/>
    </xf>
    <xf numFmtId="0" fontId="0" fillId="4" borderId="16" xfId="0" applyFill="1" applyBorder="1"/>
    <xf numFmtId="0" fontId="0" fillId="4" borderId="17" xfId="0" applyFill="1" applyBorder="1"/>
    <xf numFmtId="0" fontId="0" fillId="4" borderId="18" xfId="0" applyFill="1" applyBorder="1"/>
    <xf numFmtId="0" fontId="20" fillId="4" borderId="19" xfId="0" applyFont="1" applyFill="1" applyBorder="1" applyAlignment="1">
      <alignment horizontal="center"/>
    </xf>
    <xf numFmtId="0" fontId="14" fillId="4" borderId="0" xfId="0" applyFont="1" applyFill="1" applyBorder="1"/>
    <xf numFmtId="0" fontId="20" fillId="4" borderId="20" xfId="0" applyFont="1" applyFill="1" applyBorder="1"/>
    <xf numFmtId="0" fontId="0" fillId="4" borderId="21" xfId="0" applyFill="1" applyBorder="1"/>
    <xf numFmtId="0" fontId="0" fillId="4" borderId="13" xfId="0" applyFill="1" applyBorder="1"/>
    <xf numFmtId="0" fontId="0" fillId="4" borderId="22" xfId="0" applyFill="1" applyBorder="1"/>
    <xf numFmtId="0" fontId="21" fillId="5" borderId="0" xfId="0" applyFont="1" applyFill="1" applyProtection="1"/>
    <xf numFmtId="0" fontId="23" fillId="5" borderId="0" xfId="0" applyFont="1" applyFill="1" applyProtection="1"/>
    <xf numFmtId="0" fontId="23" fillId="0" borderId="0" xfId="0" applyFont="1" applyProtection="1"/>
    <xf numFmtId="0" fontId="21" fillId="0" borderId="0" xfId="0" applyFont="1" applyProtection="1"/>
    <xf numFmtId="0" fontId="22" fillId="2" borderId="0" xfId="0" applyFont="1" applyFill="1" applyBorder="1" applyAlignment="1" applyProtection="1"/>
    <xf numFmtId="0" fontId="21" fillId="2" borderId="0" xfId="0" applyFont="1" applyFill="1" applyBorder="1" applyProtection="1"/>
    <xf numFmtId="0" fontId="21" fillId="5" borderId="0" xfId="0" applyFont="1" applyFill="1" applyAlignment="1" applyProtection="1">
      <alignment textRotation="90"/>
    </xf>
    <xf numFmtId="0" fontId="23" fillId="5" borderId="0" xfId="0" applyFont="1" applyFill="1" applyAlignment="1" applyProtection="1">
      <alignment textRotation="90"/>
    </xf>
    <xf numFmtId="0" fontId="23" fillId="0" borderId="0" xfId="0" applyFont="1" applyAlignment="1" applyProtection="1">
      <alignment textRotation="90"/>
    </xf>
    <xf numFmtId="0" fontId="21" fillId="0" borderId="0" xfId="0" applyFont="1" applyAlignment="1" applyProtection="1">
      <alignment textRotation="90"/>
    </xf>
    <xf numFmtId="0" fontId="21" fillId="0" borderId="7" xfId="0" applyFont="1" applyBorder="1" applyProtection="1"/>
    <xf numFmtId="0" fontId="21" fillId="5" borderId="7" xfId="0" applyFont="1" applyFill="1" applyBorder="1" applyAlignment="1" applyProtection="1">
      <alignment horizontal="center"/>
      <protection locked="0"/>
    </xf>
    <xf numFmtId="164" fontId="21" fillId="8" borderId="7" xfId="0" applyNumberFormat="1" applyFont="1" applyFill="1" applyBorder="1" applyAlignment="1" applyProtection="1">
      <alignment horizontal="center"/>
    </xf>
    <xf numFmtId="0" fontId="26" fillId="8" borderId="7" xfId="0" applyFont="1" applyFill="1" applyBorder="1" applyAlignment="1" applyProtection="1">
      <alignment horizontal="center"/>
    </xf>
    <xf numFmtId="0" fontId="27" fillId="5" borderId="0" xfId="0" applyFont="1" applyFill="1" applyProtection="1"/>
    <xf numFmtId="0" fontId="28" fillId="5" borderId="0" xfId="0" applyFont="1" applyFill="1" applyProtection="1"/>
    <xf numFmtId="0" fontId="21" fillId="7" borderId="8" xfId="0" applyFont="1" applyFill="1" applyBorder="1" applyAlignment="1" applyProtection="1">
      <alignment horizontal="center"/>
    </xf>
    <xf numFmtId="0" fontId="21" fillId="7" borderId="8" xfId="0" applyFont="1" applyFill="1" applyBorder="1" applyAlignment="1" applyProtection="1">
      <alignment horizontal="center"/>
      <protection locked="0"/>
    </xf>
    <xf numFmtId="0" fontId="21" fillId="6" borderId="8" xfId="0" applyFont="1" applyFill="1" applyBorder="1" applyAlignment="1" applyProtection="1">
      <alignment horizontal="center"/>
      <protection locked="0"/>
    </xf>
    <xf numFmtId="0" fontId="28" fillId="5" borderId="0" xfId="0" applyFont="1" applyFill="1" applyBorder="1" applyAlignment="1" applyProtection="1">
      <alignment horizontal="right"/>
    </xf>
    <xf numFmtId="0" fontId="28" fillId="5" borderId="0" xfId="0" applyFont="1" applyFill="1" applyAlignment="1" applyProtection="1">
      <alignment horizontal="right"/>
    </xf>
    <xf numFmtId="0" fontId="22" fillId="4" borderId="2" xfId="0" applyFont="1" applyFill="1" applyBorder="1" applyAlignment="1" applyProtection="1">
      <alignment horizontal="right" textRotation="90"/>
    </xf>
    <xf numFmtId="0" fontId="22" fillId="4" borderId="27" xfId="0" applyFont="1" applyFill="1" applyBorder="1" applyAlignment="1" applyProtection="1">
      <alignment horizontal="right" textRotation="90"/>
    </xf>
    <xf numFmtId="0" fontId="25" fillId="4" borderId="43" xfId="1" applyFont="1" applyFill="1" applyBorder="1" applyAlignment="1" applyProtection="1">
      <alignment horizontal="right" textRotation="90"/>
    </xf>
    <xf numFmtId="0" fontId="21" fillId="4" borderId="2" xfId="0" applyFont="1" applyFill="1" applyBorder="1" applyAlignment="1" applyProtection="1">
      <alignment horizontal="center" textRotation="90" wrapText="1"/>
    </xf>
    <xf numFmtId="0" fontId="21" fillId="4" borderId="2" xfId="0" applyFont="1" applyFill="1" applyBorder="1" applyAlignment="1" applyProtection="1">
      <alignment textRotation="90"/>
    </xf>
    <xf numFmtId="0" fontId="25" fillId="4" borderId="2" xfId="1" applyFont="1" applyFill="1" applyBorder="1" applyAlignment="1" applyProtection="1">
      <alignment textRotation="90"/>
    </xf>
    <xf numFmtId="0" fontId="21" fillId="4" borderId="44" xfId="0" applyFont="1" applyFill="1" applyBorder="1" applyAlignment="1" applyProtection="1">
      <alignment textRotation="90"/>
    </xf>
    <xf numFmtId="0" fontId="25" fillId="4" borderId="26" xfId="1" applyFont="1" applyFill="1" applyBorder="1" applyAlignment="1" applyProtection="1">
      <alignment textRotation="90"/>
    </xf>
    <xf numFmtId="0" fontId="24" fillId="4" borderId="2" xfId="0" applyFont="1" applyFill="1" applyBorder="1" applyAlignment="1" applyProtection="1">
      <alignment horizontal="right" textRotation="90"/>
    </xf>
    <xf numFmtId="0" fontId="22" fillId="4" borderId="2" xfId="0" applyFont="1" applyFill="1" applyBorder="1" applyAlignment="1" applyProtection="1">
      <alignment horizontal="center" textRotation="90"/>
    </xf>
    <xf numFmtId="0" fontId="7" fillId="2" borderId="0" xfId="0" applyFont="1" applyFill="1" applyAlignment="1" applyProtection="1"/>
    <xf numFmtId="0" fontId="22" fillId="2" borderId="13" xfId="0" applyFont="1" applyFill="1" applyBorder="1" applyAlignment="1" applyProtection="1"/>
    <xf numFmtId="0" fontId="21" fillId="0" borderId="13" xfId="0" applyFont="1" applyBorder="1" applyProtection="1"/>
    <xf numFmtId="0" fontId="24" fillId="5" borderId="0" xfId="0" applyFont="1" applyFill="1" applyBorder="1" applyAlignment="1" applyProtection="1">
      <protection locked="0"/>
    </xf>
    <xf numFmtId="164" fontId="24" fillId="7" borderId="42" xfId="0" applyNumberFormat="1" applyFont="1" applyFill="1" applyBorder="1" applyAlignment="1" applyProtection="1">
      <alignment horizontal="center"/>
    </xf>
    <xf numFmtId="0" fontId="21" fillId="5" borderId="0" xfId="0" applyFont="1" applyFill="1" applyBorder="1" applyAlignment="1" applyProtection="1">
      <protection locked="0"/>
    </xf>
    <xf numFmtId="165" fontId="24" fillId="5" borderId="21" xfId="0" applyNumberFormat="1" applyFont="1" applyFill="1" applyBorder="1" applyAlignment="1" applyProtection="1">
      <protection locked="0"/>
    </xf>
    <xf numFmtId="164" fontId="21" fillId="8" borderId="1" xfId="0" applyNumberFormat="1" applyFont="1" applyFill="1" applyBorder="1" applyAlignment="1" applyProtection="1">
      <alignment horizontal="center"/>
    </xf>
    <xf numFmtId="0" fontId="26" fillId="8" borderId="1" xfId="0" applyFont="1" applyFill="1" applyBorder="1" applyAlignment="1" applyProtection="1">
      <alignment horizontal="center"/>
    </xf>
    <xf numFmtId="0" fontId="21" fillId="8" borderId="7" xfId="0" applyFont="1" applyFill="1" applyBorder="1" applyAlignment="1" applyProtection="1">
      <alignment horizontal="center"/>
    </xf>
    <xf numFmtId="0" fontId="21" fillId="8" borderId="1" xfId="0" applyFont="1" applyFill="1" applyBorder="1" applyAlignment="1" applyProtection="1">
      <alignment horizontal="center"/>
    </xf>
    <xf numFmtId="0" fontId="24" fillId="5" borderId="0" xfId="0" applyFont="1" applyFill="1" applyProtection="1"/>
    <xf numFmtId="0" fontId="24" fillId="0" borderId="0" xfId="0" applyFont="1" applyProtection="1"/>
    <xf numFmtId="0" fontId="24" fillId="3" borderId="1" xfId="0" applyFont="1" applyFill="1" applyBorder="1" applyProtection="1"/>
    <xf numFmtId="0" fontId="24" fillId="2" borderId="1" xfId="0" applyFont="1" applyFill="1" applyBorder="1" applyProtection="1"/>
    <xf numFmtId="0" fontId="21" fillId="5" borderId="42" xfId="0" applyFont="1" applyFill="1" applyBorder="1" applyAlignment="1" applyProtection="1">
      <alignment horizontal="center"/>
      <protection locked="0"/>
    </xf>
    <xf numFmtId="0" fontId="21" fillId="5" borderId="0" xfId="0" applyFont="1" applyFill="1" applyAlignment="1" applyProtection="1">
      <alignment horizontal="center"/>
    </xf>
    <xf numFmtId="0" fontId="21" fillId="4" borderId="42" xfId="0" applyFont="1" applyFill="1" applyBorder="1" applyAlignment="1" applyProtection="1">
      <alignment horizontal="center"/>
    </xf>
    <xf numFmtId="0" fontId="24" fillId="4" borderId="27" xfId="0" applyFont="1" applyFill="1" applyBorder="1" applyAlignment="1" applyProtection="1">
      <alignment horizontal="center" vertical="center" wrapText="1"/>
    </xf>
    <xf numFmtId="0" fontId="24" fillId="4" borderId="4" xfId="0" applyFont="1" applyFill="1" applyBorder="1" applyAlignment="1" applyProtection="1">
      <alignment horizontal="center" vertical="center" wrapText="1"/>
    </xf>
    <xf numFmtId="0" fontId="24" fillId="4" borderId="44" xfId="0" applyFont="1" applyFill="1" applyBorder="1" applyAlignment="1" applyProtection="1">
      <alignment horizontal="center" vertical="center" wrapText="1"/>
    </xf>
    <xf numFmtId="0" fontId="8" fillId="15" borderId="45" xfId="0" applyFont="1" applyFill="1" applyBorder="1" applyAlignment="1" applyProtection="1">
      <alignment horizontal="center"/>
    </xf>
    <xf numFmtId="0" fontId="8" fillId="15" borderId="46" xfId="0" applyFont="1" applyFill="1" applyBorder="1" applyAlignment="1" applyProtection="1">
      <alignment horizontal="center"/>
    </xf>
    <xf numFmtId="0" fontId="8" fillId="15" borderId="13" xfId="0" applyFont="1" applyFill="1" applyBorder="1" applyAlignment="1" applyProtection="1">
      <alignment horizontal="center"/>
    </xf>
    <xf numFmtId="0" fontId="8" fillId="15" borderId="22" xfId="0" applyFont="1" applyFill="1" applyBorder="1" applyAlignment="1" applyProtection="1">
      <alignment horizontal="center"/>
    </xf>
    <xf numFmtId="0" fontId="21" fillId="5" borderId="45" xfId="0" applyFont="1" applyFill="1" applyBorder="1" applyAlignment="1" applyProtection="1">
      <alignment horizontal="center"/>
    </xf>
    <xf numFmtId="0" fontId="21" fillId="5" borderId="46" xfId="0" applyFont="1" applyFill="1" applyBorder="1" applyAlignment="1" applyProtection="1">
      <alignment horizontal="center"/>
    </xf>
    <xf numFmtId="0" fontId="21" fillId="5" borderId="47" xfId="0" applyFont="1" applyFill="1" applyBorder="1" applyAlignment="1" applyProtection="1">
      <alignment horizontal="center"/>
    </xf>
    <xf numFmtId="165" fontId="24" fillId="5" borderId="21" xfId="0" applyNumberFormat="1" applyFont="1" applyFill="1" applyBorder="1" applyAlignment="1" applyProtection="1">
      <alignment horizontal="center"/>
      <protection locked="0"/>
    </xf>
    <xf numFmtId="165" fontId="24" fillId="5" borderId="13" xfId="0" applyNumberFormat="1" applyFont="1" applyFill="1" applyBorder="1" applyAlignment="1" applyProtection="1">
      <alignment horizontal="center"/>
      <protection locked="0"/>
    </xf>
    <xf numFmtId="165" fontId="24" fillId="5" borderId="22" xfId="0" applyNumberFormat="1" applyFont="1" applyFill="1" applyBorder="1" applyAlignment="1" applyProtection="1">
      <alignment horizontal="center"/>
      <protection locked="0"/>
    </xf>
    <xf numFmtId="0" fontId="22" fillId="2" borderId="13" xfId="0" applyFont="1" applyFill="1" applyBorder="1" applyAlignment="1" applyProtection="1">
      <alignment horizontal="center"/>
    </xf>
    <xf numFmtId="0" fontId="7" fillId="2" borderId="0" xfId="0" applyFont="1" applyFill="1" applyAlignment="1" applyProtection="1">
      <alignment horizontal="center"/>
    </xf>
    <xf numFmtId="0" fontId="24" fillId="5" borderId="45" xfId="0" applyFont="1" applyFill="1" applyBorder="1" applyAlignment="1" applyProtection="1">
      <alignment horizontal="center"/>
      <protection locked="0"/>
    </xf>
    <xf numFmtId="0" fontId="24" fillId="5" borderId="46" xfId="0" applyFont="1" applyFill="1" applyBorder="1" applyAlignment="1" applyProtection="1">
      <alignment horizontal="center"/>
      <protection locked="0"/>
    </xf>
    <xf numFmtId="0" fontId="24" fillId="5" borderId="47" xfId="0" applyFont="1" applyFill="1" applyBorder="1" applyAlignment="1" applyProtection="1">
      <alignment horizontal="center"/>
      <protection locked="0"/>
    </xf>
    <xf numFmtId="0" fontId="22" fillId="2" borderId="0" xfId="0" applyFont="1" applyFill="1" applyBorder="1" applyAlignment="1" applyProtection="1">
      <alignment horizontal="center"/>
    </xf>
    <xf numFmtId="0" fontId="21" fillId="5" borderId="45" xfId="0" applyFont="1" applyFill="1" applyBorder="1" applyAlignment="1" applyProtection="1">
      <alignment horizontal="center"/>
      <protection locked="0"/>
    </xf>
    <xf numFmtId="0" fontId="21" fillId="5" borderId="46" xfId="0" applyFont="1" applyFill="1" applyBorder="1" applyAlignment="1" applyProtection="1">
      <alignment horizontal="center"/>
      <protection locked="0"/>
    </xf>
    <xf numFmtId="0" fontId="21" fillId="5" borderId="47" xfId="0" applyFont="1" applyFill="1" applyBorder="1" applyAlignment="1" applyProtection="1">
      <alignment horizontal="center"/>
      <protection locked="0"/>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1" fillId="2" borderId="6" xfId="0" applyFont="1" applyFill="1" applyBorder="1" applyAlignment="1">
      <alignment horizontal="center"/>
    </xf>
    <xf numFmtId="0" fontId="1" fillId="2" borderId="0" xfId="0" applyFont="1" applyFill="1" applyBorder="1" applyAlignment="1">
      <alignment horizontal="center"/>
    </xf>
    <xf numFmtId="0" fontId="1" fillId="2" borderId="5" xfId="0" applyFont="1"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0" fontId="0" fillId="2" borderId="14" xfId="0" applyFill="1" applyBorder="1" applyAlignment="1">
      <alignment horizontal="center"/>
    </xf>
    <xf numFmtId="0" fontId="11" fillId="5" borderId="0" xfId="0" applyFont="1" applyFill="1" applyAlignment="1">
      <alignment horizontal="left" wrapText="1"/>
    </xf>
    <xf numFmtId="0" fontId="0" fillId="9" borderId="19" xfId="0" applyFill="1" applyBorder="1" applyAlignment="1">
      <alignment horizontal="center"/>
    </xf>
    <xf numFmtId="0" fontId="0" fillId="9" borderId="0" xfId="0" applyFill="1" applyBorder="1" applyAlignment="1">
      <alignment horizontal="center"/>
    </xf>
    <xf numFmtId="0" fontId="0" fillId="9" borderId="20" xfId="0" applyFill="1" applyBorder="1" applyAlignment="1">
      <alignment horizontal="center"/>
    </xf>
    <xf numFmtId="0" fontId="1" fillId="3" borderId="16" xfId="0" applyFont="1" applyFill="1" applyBorder="1" applyAlignment="1">
      <alignment horizontal="center" vertical="center"/>
    </xf>
    <xf numFmtId="0" fontId="1" fillId="3" borderId="17" xfId="0" applyFont="1" applyFill="1" applyBorder="1" applyAlignment="1">
      <alignment horizontal="center" vertical="center"/>
    </xf>
    <xf numFmtId="0" fontId="1" fillId="3" borderId="18"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19" xfId="0" applyFont="1" applyFill="1" applyBorder="1" applyAlignment="1">
      <alignment horizontal="left"/>
    </xf>
    <xf numFmtId="0" fontId="1" fillId="3" borderId="0" xfId="0" applyFont="1" applyFill="1" applyBorder="1" applyAlignment="1">
      <alignment horizontal="left"/>
    </xf>
    <xf numFmtId="0" fontId="1" fillId="3" borderId="20" xfId="0" applyFont="1" applyFill="1" applyBorder="1" applyAlignment="1">
      <alignment horizontal="left"/>
    </xf>
    <xf numFmtId="0" fontId="17" fillId="2" borderId="0" xfId="0" applyFont="1" applyFill="1" applyBorder="1" applyAlignment="1">
      <alignment horizontal="center"/>
    </xf>
    <xf numFmtId="0" fontId="17" fillId="0" borderId="0" xfId="0" applyFont="1" applyBorder="1" applyAlignment="1">
      <alignment horizontal="center"/>
    </xf>
    <xf numFmtId="0" fontId="1" fillId="12" borderId="29" xfId="0" applyFont="1" applyFill="1" applyBorder="1" applyAlignment="1">
      <alignment horizontal="center"/>
    </xf>
    <xf numFmtId="0" fontId="1" fillId="12" borderId="30" xfId="0" applyFont="1" applyFill="1" applyBorder="1" applyAlignment="1">
      <alignment horizontal="center"/>
    </xf>
  </cellXfs>
  <cellStyles count="2">
    <cellStyle name="Hyperlink" xfId="1" builtinId="8"/>
    <cellStyle name="Normal" xfId="0" builtinId="0"/>
  </cellStyles>
  <dxfs count="0"/>
  <tableStyles count="0" defaultTableStyle="TableStyleMedium9" defaultPivotStyle="PivotStyleLight16"/>
  <colors>
    <mruColors>
      <color rgb="FFF7FEB2"/>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189</xdr:row>
      <xdr:rowOff>47626</xdr:rowOff>
    </xdr:from>
    <xdr:to>
      <xdr:col>11</xdr:col>
      <xdr:colOff>49088</xdr:colOff>
      <xdr:row>212</xdr:row>
      <xdr:rowOff>171450</xdr:rowOff>
    </xdr:to>
    <xdr:pic>
      <xdr:nvPicPr>
        <xdr:cNvPr id="14" name="Picture 13" descr="P619PIBordered.jpg"/>
        <xdr:cNvPicPr>
          <a:picLocks noChangeAspect="1"/>
        </xdr:cNvPicPr>
      </xdr:nvPicPr>
      <xdr:blipFill>
        <a:blip xmlns:r="http://schemas.openxmlformats.org/officeDocument/2006/relationships" r:embed="rId1" cstate="print"/>
        <a:stretch>
          <a:fillRect/>
        </a:stretch>
      </xdr:blipFill>
      <xdr:spPr>
        <a:xfrm>
          <a:off x="0" y="36052126"/>
          <a:ext cx="6754688" cy="4505324"/>
        </a:xfrm>
        <a:prstGeom prst="rect">
          <a:avLst/>
        </a:prstGeom>
      </xdr:spPr>
    </xdr:pic>
    <xdr:clientData/>
  </xdr:twoCellAnchor>
  <xdr:twoCellAnchor editAs="oneCell">
    <xdr:from>
      <xdr:col>0</xdr:col>
      <xdr:colOff>0</xdr:colOff>
      <xdr:row>28</xdr:row>
      <xdr:rowOff>95249</xdr:rowOff>
    </xdr:from>
    <xdr:to>
      <xdr:col>10</xdr:col>
      <xdr:colOff>28455</xdr:colOff>
      <xdr:row>51</xdr:row>
      <xdr:rowOff>142875</xdr:rowOff>
    </xdr:to>
    <xdr:pic>
      <xdr:nvPicPr>
        <xdr:cNvPr id="6" name="Picture 5" descr="Agronomy PAM.jpg"/>
        <xdr:cNvPicPr>
          <a:picLocks noChangeAspect="1"/>
        </xdr:cNvPicPr>
      </xdr:nvPicPr>
      <xdr:blipFill>
        <a:blip xmlns:r="http://schemas.openxmlformats.org/officeDocument/2006/relationships" r:embed="rId2" cstate="print"/>
        <a:stretch>
          <a:fillRect/>
        </a:stretch>
      </xdr:blipFill>
      <xdr:spPr>
        <a:xfrm>
          <a:off x="0" y="5429249"/>
          <a:ext cx="6124455" cy="4429126"/>
        </a:xfrm>
        <a:prstGeom prst="rect">
          <a:avLst/>
        </a:prstGeom>
      </xdr:spPr>
    </xdr:pic>
    <xdr:clientData/>
  </xdr:twoCellAnchor>
  <xdr:twoCellAnchor editAs="oneCell">
    <xdr:from>
      <xdr:col>0</xdr:col>
      <xdr:colOff>0</xdr:colOff>
      <xdr:row>118</xdr:row>
      <xdr:rowOff>161926</xdr:rowOff>
    </xdr:from>
    <xdr:to>
      <xdr:col>9</xdr:col>
      <xdr:colOff>581024</xdr:colOff>
      <xdr:row>139</xdr:row>
      <xdr:rowOff>151924</xdr:rowOff>
    </xdr:to>
    <xdr:pic>
      <xdr:nvPicPr>
        <xdr:cNvPr id="7" name="Picture 6" descr="Corn in cover fw.jpg"/>
        <xdr:cNvPicPr>
          <a:picLocks noChangeAspect="1"/>
        </xdr:cNvPicPr>
      </xdr:nvPicPr>
      <xdr:blipFill>
        <a:blip xmlns:r="http://schemas.openxmlformats.org/officeDocument/2006/relationships" r:embed="rId3" cstate="print"/>
        <a:stretch>
          <a:fillRect/>
        </a:stretch>
      </xdr:blipFill>
      <xdr:spPr>
        <a:xfrm>
          <a:off x="0" y="22640926"/>
          <a:ext cx="6067424" cy="3990498"/>
        </a:xfrm>
        <a:prstGeom prst="rect">
          <a:avLst/>
        </a:prstGeom>
      </xdr:spPr>
    </xdr:pic>
    <xdr:clientData/>
  </xdr:twoCellAnchor>
  <xdr:twoCellAnchor editAs="oneCell">
    <xdr:from>
      <xdr:col>9</xdr:col>
      <xdr:colOff>571500</xdr:colOff>
      <xdr:row>118</xdr:row>
      <xdr:rowOff>123826</xdr:rowOff>
    </xdr:from>
    <xdr:to>
      <xdr:col>19</xdr:col>
      <xdr:colOff>561975</xdr:colOff>
      <xdr:row>139</xdr:row>
      <xdr:rowOff>182958</xdr:rowOff>
    </xdr:to>
    <xdr:pic>
      <xdr:nvPicPr>
        <xdr:cNvPr id="8" name="Picture 7" descr="P655PIplowed.jpg"/>
        <xdr:cNvPicPr>
          <a:picLocks noChangeAspect="1"/>
        </xdr:cNvPicPr>
      </xdr:nvPicPr>
      <xdr:blipFill>
        <a:blip xmlns:r="http://schemas.openxmlformats.org/officeDocument/2006/relationships" r:embed="rId4" cstate="print"/>
        <a:stretch>
          <a:fillRect/>
        </a:stretch>
      </xdr:blipFill>
      <xdr:spPr>
        <a:xfrm>
          <a:off x="6057900" y="22602826"/>
          <a:ext cx="6086475" cy="4059632"/>
        </a:xfrm>
        <a:prstGeom prst="rect">
          <a:avLst/>
        </a:prstGeom>
      </xdr:spPr>
    </xdr:pic>
    <xdr:clientData/>
  </xdr:twoCellAnchor>
  <xdr:twoCellAnchor editAs="oneCell">
    <xdr:from>
      <xdr:col>0</xdr:col>
      <xdr:colOff>0</xdr:colOff>
      <xdr:row>141</xdr:row>
      <xdr:rowOff>161925</xdr:rowOff>
    </xdr:from>
    <xdr:to>
      <xdr:col>10</xdr:col>
      <xdr:colOff>9525</xdr:colOff>
      <xdr:row>161</xdr:row>
      <xdr:rowOff>178627</xdr:rowOff>
    </xdr:to>
    <xdr:pic>
      <xdr:nvPicPr>
        <xdr:cNvPr id="9" name="Picture 8" descr="P621PIalfalfa2.jpg"/>
        <xdr:cNvPicPr>
          <a:picLocks noChangeAspect="1"/>
        </xdr:cNvPicPr>
      </xdr:nvPicPr>
      <xdr:blipFill>
        <a:blip xmlns:r="http://schemas.openxmlformats.org/officeDocument/2006/relationships" r:embed="rId5" cstate="print"/>
        <a:stretch>
          <a:fillRect/>
        </a:stretch>
      </xdr:blipFill>
      <xdr:spPr>
        <a:xfrm>
          <a:off x="0" y="27022425"/>
          <a:ext cx="6105525" cy="3826702"/>
        </a:xfrm>
        <a:prstGeom prst="rect">
          <a:avLst/>
        </a:prstGeom>
      </xdr:spPr>
    </xdr:pic>
    <xdr:clientData/>
  </xdr:twoCellAnchor>
  <xdr:twoCellAnchor editAs="oneCell">
    <xdr:from>
      <xdr:col>9</xdr:col>
      <xdr:colOff>590550</xdr:colOff>
      <xdr:row>141</xdr:row>
      <xdr:rowOff>142876</xdr:rowOff>
    </xdr:from>
    <xdr:to>
      <xdr:col>19</xdr:col>
      <xdr:colOff>295275</xdr:colOff>
      <xdr:row>162</xdr:row>
      <xdr:rowOff>11414</xdr:rowOff>
    </xdr:to>
    <xdr:pic>
      <xdr:nvPicPr>
        <xdr:cNvPr id="10" name="Picture 9" descr="P650PIstubble.jpg"/>
        <xdr:cNvPicPr>
          <a:picLocks noChangeAspect="1"/>
        </xdr:cNvPicPr>
      </xdr:nvPicPr>
      <xdr:blipFill>
        <a:blip xmlns:r="http://schemas.openxmlformats.org/officeDocument/2006/relationships" r:embed="rId6" cstate="print"/>
        <a:stretch>
          <a:fillRect/>
        </a:stretch>
      </xdr:blipFill>
      <xdr:spPr>
        <a:xfrm>
          <a:off x="6076950" y="27003376"/>
          <a:ext cx="5800725" cy="3869038"/>
        </a:xfrm>
        <a:prstGeom prst="rect">
          <a:avLst/>
        </a:prstGeom>
      </xdr:spPr>
    </xdr:pic>
    <xdr:clientData/>
  </xdr:twoCellAnchor>
  <xdr:twoCellAnchor editAs="oneCell">
    <xdr:from>
      <xdr:col>10</xdr:col>
      <xdr:colOff>19050</xdr:colOff>
      <xdr:row>164</xdr:row>
      <xdr:rowOff>57150</xdr:rowOff>
    </xdr:from>
    <xdr:to>
      <xdr:col>19</xdr:col>
      <xdr:colOff>590550</xdr:colOff>
      <xdr:row>188</xdr:row>
      <xdr:rowOff>16744</xdr:rowOff>
    </xdr:to>
    <xdr:pic>
      <xdr:nvPicPr>
        <xdr:cNvPr id="12" name="Picture 11" descr="Tilled Field 2.jpg"/>
        <xdr:cNvPicPr>
          <a:picLocks noChangeAspect="1"/>
        </xdr:cNvPicPr>
      </xdr:nvPicPr>
      <xdr:blipFill>
        <a:blip xmlns:r="http://schemas.openxmlformats.org/officeDocument/2006/relationships" r:embed="rId7" cstate="print"/>
        <a:stretch>
          <a:fillRect/>
        </a:stretch>
      </xdr:blipFill>
      <xdr:spPr>
        <a:xfrm>
          <a:off x="6115050" y="31299150"/>
          <a:ext cx="6057900" cy="4531594"/>
        </a:xfrm>
        <a:prstGeom prst="rect">
          <a:avLst/>
        </a:prstGeom>
      </xdr:spPr>
    </xdr:pic>
    <xdr:clientData/>
  </xdr:twoCellAnchor>
  <xdr:twoCellAnchor editAs="oneCell">
    <xdr:from>
      <xdr:col>11</xdr:col>
      <xdr:colOff>28575</xdr:colOff>
      <xdr:row>188</xdr:row>
      <xdr:rowOff>180975</xdr:rowOff>
    </xdr:from>
    <xdr:to>
      <xdr:col>21</xdr:col>
      <xdr:colOff>23756</xdr:colOff>
      <xdr:row>212</xdr:row>
      <xdr:rowOff>123825</xdr:rowOff>
    </xdr:to>
    <xdr:pic>
      <xdr:nvPicPr>
        <xdr:cNvPr id="13" name="Picture 12" descr="NoContainment3.jpg"/>
        <xdr:cNvPicPr>
          <a:picLocks noChangeAspect="1"/>
        </xdr:cNvPicPr>
      </xdr:nvPicPr>
      <xdr:blipFill>
        <a:blip xmlns:r="http://schemas.openxmlformats.org/officeDocument/2006/relationships" r:embed="rId8" cstate="print"/>
        <a:stretch>
          <a:fillRect/>
        </a:stretch>
      </xdr:blipFill>
      <xdr:spPr>
        <a:xfrm>
          <a:off x="6734175" y="35994975"/>
          <a:ext cx="6091181" cy="4514850"/>
        </a:xfrm>
        <a:prstGeom prst="rect">
          <a:avLst/>
        </a:prstGeom>
      </xdr:spPr>
    </xdr:pic>
    <xdr:clientData/>
  </xdr:twoCellAnchor>
  <xdr:twoCellAnchor editAs="oneCell">
    <xdr:from>
      <xdr:col>0</xdr:col>
      <xdr:colOff>0</xdr:colOff>
      <xdr:row>164</xdr:row>
      <xdr:rowOff>38100</xdr:rowOff>
    </xdr:from>
    <xdr:to>
      <xdr:col>9</xdr:col>
      <xdr:colOff>571499</xdr:colOff>
      <xdr:row>187</xdr:row>
      <xdr:rowOff>188192</xdr:rowOff>
    </xdr:to>
    <xdr:pic>
      <xdr:nvPicPr>
        <xdr:cNvPr id="15" name="Picture 14" descr="P4020418Spreading done right.jpg"/>
        <xdr:cNvPicPr>
          <a:picLocks noChangeAspect="1"/>
        </xdr:cNvPicPr>
      </xdr:nvPicPr>
      <xdr:blipFill>
        <a:blip xmlns:r="http://schemas.openxmlformats.org/officeDocument/2006/relationships" r:embed="rId9" cstate="print"/>
        <a:stretch>
          <a:fillRect/>
        </a:stretch>
      </xdr:blipFill>
      <xdr:spPr>
        <a:xfrm>
          <a:off x="0" y="31280100"/>
          <a:ext cx="6057899" cy="4531592"/>
        </a:xfrm>
        <a:prstGeom prst="rect">
          <a:avLst/>
        </a:prstGeom>
      </xdr:spPr>
    </xdr:pic>
    <xdr:clientData/>
  </xdr:twoCellAnchor>
  <xdr:twoCellAnchor editAs="oneCell">
    <xdr:from>
      <xdr:col>0</xdr:col>
      <xdr:colOff>0</xdr:colOff>
      <xdr:row>241</xdr:row>
      <xdr:rowOff>1</xdr:rowOff>
    </xdr:from>
    <xdr:to>
      <xdr:col>10</xdr:col>
      <xdr:colOff>0</xdr:colOff>
      <xdr:row>264</xdr:row>
      <xdr:rowOff>180976</xdr:rowOff>
    </xdr:to>
    <xdr:pic>
      <xdr:nvPicPr>
        <xdr:cNvPr id="16" name="Picture 15" descr="P109Excess Manure Runoff.jpg"/>
        <xdr:cNvPicPr>
          <a:picLocks noChangeAspect="1"/>
        </xdr:cNvPicPr>
      </xdr:nvPicPr>
      <xdr:blipFill>
        <a:blip xmlns:r="http://schemas.openxmlformats.org/officeDocument/2006/relationships" r:embed="rId10" cstate="print"/>
        <a:stretch>
          <a:fillRect/>
        </a:stretch>
      </xdr:blipFill>
      <xdr:spPr>
        <a:xfrm>
          <a:off x="0" y="45910501"/>
          <a:ext cx="6096000" cy="4562475"/>
        </a:xfrm>
        <a:prstGeom prst="rect">
          <a:avLst/>
        </a:prstGeom>
      </xdr:spPr>
    </xdr:pic>
    <xdr:clientData/>
  </xdr:twoCellAnchor>
  <xdr:twoCellAnchor editAs="oneCell">
    <xdr:from>
      <xdr:col>0</xdr:col>
      <xdr:colOff>66675</xdr:colOff>
      <xdr:row>270</xdr:row>
      <xdr:rowOff>57150</xdr:rowOff>
    </xdr:from>
    <xdr:to>
      <xdr:col>10</xdr:col>
      <xdr:colOff>76200</xdr:colOff>
      <xdr:row>291</xdr:row>
      <xdr:rowOff>128987</xdr:rowOff>
    </xdr:to>
    <xdr:pic>
      <xdr:nvPicPr>
        <xdr:cNvPr id="17" name="Picture 16" descr="P1063SpreadingChickenManure.jpg"/>
        <xdr:cNvPicPr>
          <a:picLocks noChangeAspect="1"/>
        </xdr:cNvPicPr>
      </xdr:nvPicPr>
      <xdr:blipFill>
        <a:blip xmlns:r="http://schemas.openxmlformats.org/officeDocument/2006/relationships" r:embed="rId11" cstate="print"/>
        <a:stretch>
          <a:fillRect/>
        </a:stretch>
      </xdr:blipFill>
      <xdr:spPr>
        <a:xfrm>
          <a:off x="66675" y="51492150"/>
          <a:ext cx="6105525" cy="4072337"/>
        </a:xfrm>
        <a:prstGeom prst="rect">
          <a:avLst/>
        </a:prstGeom>
      </xdr:spPr>
    </xdr:pic>
    <xdr:clientData/>
  </xdr:twoCellAnchor>
  <xdr:twoCellAnchor editAs="oneCell">
    <xdr:from>
      <xdr:col>10</xdr:col>
      <xdr:colOff>133349</xdr:colOff>
      <xdr:row>270</xdr:row>
      <xdr:rowOff>74386</xdr:rowOff>
    </xdr:from>
    <xdr:to>
      <xdr:col>20</xdr:col>
      <xdr:colOff>171450</xdr:colOff>
      <xdr:row>291</xdr:row>
      <xdr:rowOff>165284</xdr:rowOff>
    </xdr:to>
    <xdr:pic>
      <xdr:nvPicPr>
        <xdr:cNvPr id="18" name="Picture 17" descr="P1065ChickenManureSpread.jpg"/>
        <xdr:cNvPicPr>
          <a:picLocks noChangeAspect="1"/>
        </xdr:cNvPicPr>
      </xdr:nvPicPr>
      <xdr:blipFill>
        <a:blip xmlns:r="http://schemas.openxmlformats.org/officeDocument/2006/relationships" r:embed="rId12" cstate="print"/>
        <a:stretch>
          <a:fillRect/>
        </a:stretch>
      </xdr:blipFill>
      <xdr:spPr>
        <a:xfrm>
          <a:off x="6229349" y="51509386"/>
          <a:ext cx="6134101" cy="4091398"/>
        </a:xfrm>
        <a:prstGeom prst="rect">
          <a:avLst/>
        </a:prstGeom>
      </xdr:spPr>
    </xdr:pic>
    <xdr:clientData/>
  </xdr:twoCellAnchor>
  <xdr:twoCellAnchor editAs="oneCell">
    <xdr:from>
      <xdr:col>0</xdr:col>
      <xdr:colOff>0</xdr:colOff>
      <xdr:row>293</xdr:row>
      <xdr:rowOff>123364</xdr:rowOff>
    </xdr:from>
    <xdr:to>
      <xdr:col>10</xdr:col>
      <xdr:colOff>9525</xdr:colOff>
      <xdr:row>317</xdr:row>
      <xdr:rowOff>120967</xdr:rowOff>
    </xdr:to>
    <xdr:pic>
      <xdr:nvPicPr>
        <xdr:cNvPr id="19" name="Picture 18" descr="P104Excess Manure Application.jpg"/>
        <xdr:cNvPicPr>
          <a:picLocks noChangeAspect="1"/>
        </xdr:cNvPicPr>
      </xdr:nvPicPr>
      <xdr:blipFill>
        <a:blip xmlns:r="http://schemas.openxmlformats.org/officeDocument/2006/relationships" r:embed="rId13" cstate="print"/>
        <a:stretch>
          <a:fillRect/>
        </a:stretch>
      </xdr:blipFill>
      <xdr:spPr>
        <a:xfrm>
          <a:off x="0" y="55939864"/>
          <a:ext cx="6105525" cy="4569603"/>
        </a:xfrm>
        <a:prstGeom prst="rect">
          <a:avLst/>
        </a:prstGeom>
      </xdr:spPr>
    </xdr:pic>
    <xdr:clientData/>
  </xdr:twoCellAnchor>
  <xdr:twoCellAnchor editAs="oneCell">
    <xdr:from>
      <xdr:col>10</xdr:col>
      <xdr:colOff>57150</xdr:colOff>
      <xdr:row>293</xdr:row>
      <xdr:rowOff>104998</xdr:rowOff>
    </xdr:from>
    <xdr:to>
      <xdr:col>20</xdr:col>
      <xdr:colOff>79374</xdr:colOff>
      <xdr:row>317</xdr:row>
      <xdr:rowOff>109717</xdr:rowOff>
    </xdr:to>
    <xdr:pic>
      <xdr:nvPicPr>
        <xdr:cNvPr id="20" name="Picture 19" descr="Manure Application.jpg"/>
        <xdr:cNvPicPr>
          <a:picLocks noChangeAspect="1"/>
        </xdr:cNvPicPr>
      </xdr:nvPicPr>
      <xdr:blipFill>
        <a:blip xmlns:r="http://schemas.openxmlformats.org/officeDocument/2006/relationships" r:embed="rId14" cstate="print"/>
        <a:stretch>
          <a:fillRect/>
        </a:stretch>
      </xdr:blipFill>
      <xdr:spPr>
        <a:xfrm>
          <a:off x="6153150" y="55921498"/>
          <a:ext cx="6118224" cy="4576719"/>
        </a:xfrm>
        <a:prstGeom prst="rect">
          <a:avLst/>
        </a:prstGeom>
      </xdr:spPr>
    </xdr:pic>
    <xdr:clientData/>
  </xdr:twoCellAnchor>
  <xdr:twoCellAnchor editAs="oneCell">
    <xdr:from>
      <xdr:col>0</xdr:col>
      <xdr:colOff>0</xdr:colOff>
      <xdr:row>0</xdr:row>
      <xdr:rowOff>0</xdr:rowOff>
    </xdr:from>
    <xdr:to>
      <xdr:col>10</xdr:col>
      <xdr:colOff>0</xdr:colOff>
      <xdr:row>24</xdr:row>
      <xdr:rowOff>0</xdr:rowOff>
    </xdr:to>
    <xdr:pic>
      <xdr:nvPicPr>
        <xdr:cNvPr id="2049" name="il_fi" descr="http://mayang.com/textures/Nature/images/Soil%20and%20Earth/stony_soil_9091067.JPG"/>
        <xdr:cNvPicPr>
          <a:picLocks noChangeAspect="1" noChangeArrowheads="1"/>
        </xdr:cNvPicPr>
      </xdr:nvPicPr>
      <xdr:blipFill>
        <a:blip xmlns:r="http://schemas.openxmlformats.org/officeDocument/2006/relationships" r:embed="rId15" cstate="print"/>
        <a:srcRect/>
        <a:stretch>
          <a:fillRect/>
        </a:stretch>
      </xdr:blipFill>
      <xdr:spPr bwMode="auto">
        <a:xfrm>
          <a:off x="0" y="0"/>
          <a:ext cx="6096000" cy="4572000"/>
        </a:xfrm>
        <a:prstGeom prst="rect">
          <a:avLst/>
        </a:prstGeom>
        <a:noFill/>
      </xdr:spPr>
    </xdr:pic>
    <xdr:clientData/>
  </xdr:twoCellAnchor>
  <xdr:twoCellAnchor editAs="oneCell">
    <xdr:from>
      <xdr:col>9</xdr:col>
      <xdr:colOff>600075</xdr:colOff>
      <xdr:row>0</xdr:row>
      <xdr:rowOff>0</xdr:rowOff>
    </xdr:from>
    <xdr:to>
      <xdr:col>21</xdr:col>
      <xdr:colOff>123825</xdr:colOff>
      <xdr:row>23</xdr:row>
      <xdr:rowOff>166229</xdr:rowOff>
    </xdr:to>
    <xdr:pic>
      <xdr:nvPicPr>
        <xdr:cNvPr id="2050" name="Picture 2" descr="http://www.magnussonfarm.com/images/soils/loam.jpg"/>
        <xdr:cNvPicPr>
          <a:picLocks noChangeAspect="1" noChangeArrowheads="1"/>
        </xdr:cNvPicPr>
      </xdr:nvPicPr>
      <xdr:blipFill>
        <a:blip xmlns:r="http://schemas.openxmlformats.org/officeDocument/2006/relationships" r:embed="rId16" cstate="print"/>
        <a:srcRect/>
        <a:stretch>
          <a:fillRect/>
        </a:stretch>
      </xdr:blipFill>
      <xdr:spPr bwMode="auto">
        <a:xfrm>
          <a:off x="6086475" y="0"/>
          <a:ext cx="6838950" cy="4547729"/>
        </a:xfrm>
        <a:prstGeom prst="rect">
          <a:avLst/>
        </a:prstGeom>
        <a:noFill/>
      </xdr:spPr>
    </xdr:pic>
    <xdr:clientData/>
  </xdr:twoCellAnchor>
  <xdr:twoCellAnchor editAs="oneCell">
    <xdr:from>
      <xdr:col>10</xdr:col>
      <xdr:colOff>0</xdr:colOff>
      <xdr:row>28</xdr:row>
      <xdr:rowOff>190499</xdr:rowOff>
    </xdr:from>
    <xdr:to>
      <xdr:col>20</xdr:col>
      <xdr:colOff>551448</xdr:colOff>
      <xdr:row>51</xdr:row>
      <xdr:rowOff>180974</xdr:rowOff>
    </xdr:to>
    <xdr:pic>
      <xdr:nvPicPr>
        <xdr:cNvPr id="22" name="Picture 21" descr="Corn in cover fw.jpg"/>
        <xdr:cNvPicPr>
          <a:picLocks noChangeAspect="1"/>
        </xdr:cNvPicPr>
      </xdr:nvPicPr>
      <xdr:blipFill>
        <a:blip xmlns:r="http://schemas.openxmlformats.org/officeDocument/2006/relationships" r:embed="rId3" cstate="print"/>
        <a:stretch>
          <a:fillRect/>
        </a:stretch>
      </xdr:blipFill>
      <xdr:spPr>
        <a:xfrm>
          <a:off x="6096000" y="5524499"/>
          <a:ext cx="6647448" cy="4371975"/>
        </a:xfrm>
        <a:prstGeom prst="rect">
          <a:avLst/>
        </a:prstGeom>
      </xdr:spPr>
    </xdr:pic>
    <xdr:clientData/>
  </xdr:twoCellAnchor>
  <xdr:twoCellAnchor editAs="oneCell">
    <xdr:from>
      <xdr:col>0</xdr:col>
      <xdr:colOff>0</xdr:colOff>
      <xdr:row>53</xdr:row>
      <xdr:rowOff>57150</xdr:rowOff>
    </xdr:from>
    <xdr:to>
      <xdr:col>8</xdr:col>
      <xdr:colOff>104775</xdr:colOff>
      <xdr:row>92</xdr:row>
      <xdr:rowOff>114300</xdr:rowOff>
    </xdr:to>
    <xdr:pic>
      <xdr:nvPicPr>
        <xdr:cNvPr id="2051" name="Picture 3" descr="http://www1.agric.gov.ab.ca/$department/deptdocs.nsf/ba3468a2a8681f69872569d60073fde1/494bb7df258cc3ec87256f620065b910/$FILE/Photo_3-9-5_(solonetzic_hardpan)_l.jpg"/>
        <xdr:cNvPicPr>
          <a:picLocks noChangeAspect="1" noChangeArrowheads="1"/>
        </xdr:cNvPicPr>
      </xdr:nvPicPr>
      <xdr:blipFill>
        <a:blip xmlns:r="http://schemas.openxmlformats.org/officeDocument/2006/relationships" r:embed="rId17" cstate="print"/>
        <a:srcRect/>
        <a:stretch>
          <a:fillRect/>
        </a:stretch>
      </xdr:blipFill>
      <xdr:spPr bwMode="auto">
        <a:xfrm>
          <a:off x="0" y="10153650"/>
          <a:ext cx="4981575" cy="7486650"/>
        </a:xfrm>
        <a:prstGeom prst="rect">
          <a:avLst/>
        </a:prstGeom>
        <a:noFill/>
      </xdr:spPr>
    </xdr:pic>
    <xdr:clientData/>
  </xdr:twoCellAnchor>
  <xdr:twoCellAnchor editAs="oneCell">
    <xdr:from>
      <xdr:col>0</xdr:col>
      <xdr:colOff>0</xdr:colOff>
      <xdr:row>95</xdr:row>
      <xdr:rowOff>123826</xdr:rowOff>
    </xdr:from>
    <xdr:to>
      <xdr:col>8</xdr:col>
      <xdr:colOff>171450</xdr:colOff>
      <xdr:row>116</xdr:row>
      <xdr:rowOff>123250</xdr:rowOff>
    </xdr:to>
    <xdr:pic>
      <xdr:nvPicPr>
        <xdr:cNvPr id="2052" name="Picture 4" descr="http://www.dnr.mo.gov/env/wrc/groundwater/obswellphotos/centerpivotenh.jpg"/>
        <xdr:cNvPicPr>
          <a:picLocks noChangeAspect="1" noChangeArrowheads="1"/>
        </xdr:cNvPicPr>
      </xdr:nvPicPr>
      <xdr:blipFill>
        <a:blip xmlns:r="http://schemas.openxmlformats.org/officeDocument/2006/relationships" r:embed="rId18" cstate="print"/>
        <a:srcRect/>
        <a:stretch>
          <a:fillRect/>
        </a:stretch>
      </xdr:blipFill>
      <xdr:spPr bwMode="auto">
        <a:xfrm>
          <a:off x="0" y="18221326"/>
          <a:ext cx="5048250" cy="3999924"/>
        </a:xfrm>
        <a:prstGeom prst="rect">
          <a:avLst/>
        </a:prstGeom>
        <a:noFill/>
      </xdr:spPr>
    </xdr:pic>
    <xdr:clientData/>
  </xdr:twoCellAnchor>
  <xdr:twoCellAnchor editAs="oneCell">
    <xdr:from>
      <xdr:col>8</xdr:col>
      <xdr:colOff>190500</xdr:colOff>
      <xdr:row>95</xdr:row>
      <xdr:rowOff>85725</xdr:rowOff>
    </xdr:from>
    <xdr:to>
      <xdr:col>17</xdr:col>
      <xdr:colOff>85725</xdr:colOff>
      <xdr:row>116</xdr:row>
      <xdr:rowOff>121444</xdr:rowOff>
    </xdr:to>
    <xdr:pic>
      <xdr:nvPicPr>
        <xdr:cNvPr id="2053" name="Picture 5" descr="http://api.ning.com/files/Zkixyi221gwfosdanH1pEGOzDM7X7MR6V4bJbOG7w8ksHArX785lh1A2IilWk2pzsQmMW8MUP25XriBscM913tgDKnaKEVzg/IMG_0454.JPG"/>
        <xdr:cNvPicPr>
          <a:picLocks noChangeAspect="1" noChangeArrowheads="1"/>
        </xdr:cNvPicPr>
      </xdr:nvPicPr>
      <xdr:blipFill>
        <a:blip xmlns:r="http://schemas.openxmlformats.org/officeDocument/2006/relationships" r:embed="rId19" cstate="print"/>
        <a:srcRect/>
        <a:stretch>
          <a:fillRect/>
        </a:stretch>
      </xdr:blipFill>
      <xdr:spPr bwMode="auto">
        <a:xfrm>
          <a:off x="5067300" y="18183225"/>
          <a:ext cx="5381625" cy="4036219"/>
        </a:xfrm>
        <a:prstGeom prst="rect">
          <a:avLst/>
        </a:prstGeom>
        <a:noFill/>
      </xdr:spPr>
    </xdr:pic>
    <xdr:clientData/>
  </xdr:twoCellAnchor>
  <xdr:twoCellAnchor editAs="oneCell">
    <xdr:from>
      <xdr:col>0</xdr:col>
      <xdr:colOff>0</xdr:colOff>
      <xdr:row>214</xdr:row>
      <xdr:rowOff>114300</xdr:rowOff>
    </xdr:from>
    <xdr:to>
      <xdr:col>11</xdr:col>
      <xdr:colOff>38100</xdr:colOff>
      <xdr:row>239</xdr:row>
      <xdr:rowOff>170480</xdr:rowOff>
    </xdr:to>
    <xdr:pic>
      <xdr:nvPicPr>
        <xdr:cNvPr id="2054" name="Picture 6" descr="http://www.nrcs.usda.gov/Internet/FSE_MEDIA/stelprdb1043194.jpg"/>
        <xdr:cNvPicPr>
          <a:picLocks noChangeAspect="1" noChangeArrowheads="1"/>
        </xdr:cNvPicPr>
      </xdr:nvPicPr>
      <xdr:blipFill>
        <a:blip xmlns:r="http://schemas.openxmlformats.org/officeDocument/2006/relationships" r:embed="rId20" cstate="print"/>
        <a:srcRect/>
        <a:stretch>
          <a:fillRect/>
        </a:stretch>
      </xdr:blipFill>
      <xdr:spPr bwMode="auto">
        <a:xfrm>
          <a:off x="0" y="40881300"/>
          <a:ext cx="6743700" cy="4818680"/>
        </a:xfrm>
        <a:prstGeom prst="rect">
          <a:avLst/>
        </a:prstGeom>
        <a:noFill/>
      </xdr:spPr>
    </xdr:pic>
    <xdr:clientData/>
  </xdr:twoCellAnchor>
  <xdr:twoCellAnchor editAs="oneCell">
    <xdr:from>
      <xdr:col>11</xdr:col>
      <xdr:colOff>0</xdr:colOff>
      <xdr:row>214</xdr:row>
      <xdr:rowOff>0</xdr:rowOff>
    </xdr:from>
    <xdr:to>
      <xdr:col>22</xdr:col>
      <xdr:colOff>466725</xdr:colOff>
      <xdr:row>239</xdr:row>
      <xdr:rowOff>76200</xdr:rowOff>
    </xdr:to>
    <xdr:pic>
      <xdr:nvPicPr>
        <xdr:cNvPr id="2055" name="Picture 7" descr="http://weru.ksu.edu/nrcs/downloads/Ag%20Pictures/Wind_Erosion_Pictures/MI%20wind%20erosion/MI%20wind%20soil%20in%20fence.jpg"/>
        <xdr:cNvPicPr>
          <a:picLocks noChangeAspect="1" noChangeArrowheads="1"/>
        </xdr:cNvPicPr>
      </xdr:nvPicPr>
      <xdr:blipFill>
        <a:blip xmlns:r="http://schemas.openxmlformats.org/officeDocument/2006/relationships" r:embed="rId21" cstate="print"/>
        <a:srcRect/>
        <a:stretch>
          <a:fillRect/>
        </a:stretch>
      </xdr:blipFill>
      <xdr:spPr bwMode="auto">
        <a:xfrm>
          <a:off x="6705600" y="40767000"/>
          <a:ext cx="7172325" cy="4838700"/>
        </a:xfrm>
        <a:prstGeom prst="rect">
          <a:avLst/>
        </a:prstGeom>
        <a:noFill/>
      </xdr:spPr>
    </xdr:pic>
    <xdr:clientData/>
  </xdr:twoCellAnchor>
  <xdr:twoCellAnchor editAs="oneCell">
    <xdr:from>
      <xdr:col>10</xdr:col>
      <xdr:colOff>0</xdr:colOff>
      <xdr:row>239</xdr:row>
      <xdr:rowOff>1</xdr:rowOff>
    </xdr:from>
    <xdr:to>
      <xdr:col>19</xdr:col>
      <xdr:colOff>180975</xdr:colOff>
      <xdr:row>270</xdr:row>
      <xdr:rowOff>28969</xdr:rowOff>
    </xdr:to>
    <xdr:pic>
      <xdr:nvPicPr>
        <xdr:cNvPr id="2058" name="Picture 10"/>
        <xdr:cNvPicPr>
          <a:picLocks noChangeAspect="1" noChangeArrowheads="1"/>
        </xdr:cNvPicPr>
      </xdr:nvPicPr>
      <xdr:blipFill>
        <a:blip xmlns:r="http://schemas.openxmlformats.org/officeDocument/2006/relationships" r:embed="rId22" cstate="print"/>
        <a:srcRect/>
        <a:stretch>
          <a:fillRect/>
        </a:stretch>
      </xdr:blipFill>
      <xdr:spPr bwMode="auto">
        <a:xfrm>
          <a:off x="6096000" y="45529501"/>
          <a:ext cx="5667375" cy="5934468"/>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51"/>
  <sheetViews>
    <sheetView tabSelected="1" zoomScaleNormal="100" workbookViewId="0">
      <pane ySplit="7" topLeftCell="A8" activePane="bottomLeft" state="frozen"/>
      <selection pane="bottomLeft" activeCell="B8" sqref="B8"/>
    </sheetView>
  </sheetViews>
  <sheetFormatPr defaultColWidth="9.21875" defaultRowHeight="13.8" x14ac:dyDescent="0.3"/>
  <cols>
    <col min="1" max="1" width="6.77734375" style="103" customWidth="1"/>
    <col min="2" max="2" width="4.77734375" style="103" customWidth="1"/>
    <col min="3" max="11" width="3.77734375" style="103" customWidth="1"/>
    <col min="12" max="12" width="3.88671875" style="103" customWidth="1"/>
    <col min="13" max="19" width="3.77734375" style="103" customWidth="1"/>
    <col min="20" max="20" width="5.109375" style="103" customWidth="1"/>
    <col min="21" max="21" width="5.77734375" style="103" customWidth="1"/>
    <col min="22" max="22" width="5.21875" style="103" customWidth="1"/>
    <col min="23" max="26" width="5.77734375" style="103" customWidth="1"/>
    <col min="27" max="27" width="9.21875" style="103"/>
    <col min="28" max="28" width="12.21875" style="103" customWidth="1"/>
    <col min="29" max="30" width="9.21875" style="103"/>
    <col min="31" max="31" width="9.21875" style="143"/>
    <col min="32" max="32" width="23.5546875" style="103" customWidth="1"/>
    <col min="33" max="16384" width="9.21875" style="103"/>
  </cols>
  <sheetData>
    <row r="1" spans="1:38" ht="18.75" customHeight="1" x14ac:dyDescent="0.45">
      <c r="A1" s="100"/>
      <c r="B1" s="163" t="s">
        <v>0</v>
      </c>
      <c r="C1" s="163"/>
      <c r="D1" s="163"/>
      <c r="E1" s="163"/>
      <c r="F1" s="163"/>
      <c r="G1" s="163"/>
      <c r="H1" s="163"/>
      <c r="I1" s="163"/>
      <c r="J1" s="163"/>
      <c r="K1" s="163"/>
      <c r="L1" s="163"/>
      <c r="M1" s="163"/>
      <c r="N1" s="163"/>
      <c r="O1" s="163"/>
      <c r="P1" s="163"/>
      <c r="Q1" s="163"/>
      <c r="R1" s="163"/>
      <c r="S1" s="163"/>
      <c r="T1" s="163"/>
      <c r="U1" s="163"/>
      <c r="V1" s="163"/>
      <c r="W1" s="163"/>
      <c r="X1" s="163"/>
      <c r="Y1" s="163"/>
      <c r="Z1" s="100"/>
      <c r="AA1" s="101"/>
      <c r="AB1" s="101"/>
      <c r="AC1" s="101"/>
      <c r="AD1" s="101"/>
      <c r="AE1" s="142"/>
      <c r="AF1" s="102"/>
      <c r="AG1" s="102"/>
      <c r="AH1" s="102"/>
      <c r="AI1" s="102"/>
      <c r="AJ1" s="102"/>
      <c r="AK1" s="102"/>
      <c r="AL1" s="102"/>
    </row>
    <row r="2" spans="1:38" ht="15.3" customHeight="1" thickBot="1" x14ac:dyDescent="0.5">
      <c r="A2" s="100"/>
      <c r="B2" s="22"/>
      <c r="C2" s="22"/>
      <c r="D2" s="22"/>
      <c r="E2" s="22"/>
      <c r="F2" s="22"/>
      <c r="G2" s="22"/>
      <c r="H2" s="22"/>
      <c r="I2" s="22"/>
      <c r="J2" s="22"/>
      <c r="K2" s="22"/>
      <c r="L2" s="22"/>
      <c r="M2" s="131"/>
      <c r="N2" s="131"/>
      <c r="O2" s="131"/>
      <c r="P2" s="131"/>
      <c r="Q2" s="131"/>
      <c r="R2" s="131"/>
      <c r="S2" s="131"/>
      <c r="T2" s="131"/>
      <c r="U2" s="131"/>
      <c r="V2" s="131"/>
      <c r="W2" s="131"/>
      <c r="X2" s="131"/>
      <c r="Y2" s="131"/>
      <c r="Z2" s="100"/>
      <c r="AA2" s="101"/>
      <c r="AB2" s="101"/>
      <c r="AC2" s="101"/>
      <c r="AD2" s="101"/>
      <c r="AE2" s="142"/>
      <c r="AG2" s="102"/>
      <c r="AH2" s="102"/>
      <c r="AI2" s="102"/>
      <c r="AJ2" s="102"/>
      <c r="AK2" s="102"/>
      <c r="AL2" s="102"/>
    </row>
    <row r="3" spans="1:38" ht="15.3" customHeight="1" thickBot="1" x14ac:dyDescent="0.35">
      <c r="A3" s="104" t="s">
        <v>3</v>
      </c>
      <c r="B3" s="104"/>
      <c r="C3" s="164" t="s">
        <v>4</v>
      </c>
      <c r="D3" s="165"/>
      <c r="E3" s="165"/>
      <c r="F3" s="165"/>
      <c r="G3" s="165"/>
      <c r="H3" s="165"/>
      <c r="I3" s="166"/>
      <c r="J3" s="134"/>
      <c r="K3" s="134"/>
      <c r="L3" s="134"/>
      <c r="M3" s="167" t="s">
        <v>71</v>
      </c>
      <c r="N3" s="167"/>
      <c r="O3" s="167"/>
      <c r="P3" s="167"/>
      <c r="Q3" s="168" t="s">
        <v>14</v>
      </c>
      <c r="R3" s="169"/>
      <c r="S3" s="169"/>
      <c r="T3" s="169"/>
      <c r="U3" s="170"/>
      <c r="V3" s="136"/>
      <c r="W3" s="100"/>
      <c r="X3" s="156" t="s">
        <v>106</v>
      </c>
      <c r="Y3" s="157"/>
      <c r="Z3" s="158"/>
      <c r="AA3" s="146">
        <v>1</v>
      </c>
      <c r="AB3" s="147" t="s">
        <v>254</v>
      </c>
      <c r="AC3" s="148">
        <f>AA3*0.393701</f>
        <v>0.39370100000000002</v>
      </c>
      <c r="AD3" s="147" t="s">
        <v>253</v>
      </c>
      <c r="AG3" s="102"/>
      <c r="AH3" s="102"/>
      <c r="AI3" s="102"/>
      <c r="AJ3" s="102"/>
      <c r="AK3" s="102"/>
      <c r="AL3" s="102"/>
    </row>
    <row r="4" spans="1:38" ht="15.3" customHeight="1" thickBot="1" x14ac:dyDescent="0.5">
      <c r="A4" s="104" t="s">
        <v>7</v>
      </c>
      <c r="B4" s="104"/>
      <c r="C4" s="164" t="s">
        <v>8</v>
      </c>
      <c r="D4" s="165"/>
      <c r="E4" s="165"/>
      <c r="F4" s="165"/>
      <c r="G4" s="165"/>
      <c r="H4" s="165"/>
      <c r="I4" s="166"/>
      <c r="J4" s="22"/>
      <c r="K4" s="22"/>
      <c r="L4" s="22"/>
      <c r="M4" s="167" t="s">
        <v>74</v>
      </c>
      <c r="N4" s="167"/>
      <c r="O4" s="167"/>
      <c r="P4" s="167"/>
      <c r="Q4" s="168" t="s">
        <v>9</v>
      </c>
      <c r="R4" s="169"/>
      <c r="S4" s="169"/>
      <c r="T4" s="169"/>
      <c r="U4" s="170"/>
      <c r="V4" s="136"/>
      <c r="W4" s="100"/>
      <c r="X4" s="156" t="s">
        <v>107</v>
      </c>
      <c r="Y4" s="157"/>
      <c r="Z4" s="158"/>
      <c r="AA4" s="101"/>
      <c r="AB4" s="101"/>
      <c r="AC4" s="101"/>
      <c r="AD4" s="101"/>
      <c r="AE4" s="142"/>
      <c r="AG4" s="102"/>
      <c r="AH4" s="102"/>
      <c r="AI4" s="102"/>
      <c r="AJ4" s="102"/>
      <c r="AK4" s="102"/>
      <c r="AL4" s="102"/>
    </row>
    <row r="5" spans="1:38" ht="15.3" customHeight="1" thickBot="1" x14ac:dyDescent="0.35">
      <c r="B5" s="104"/>
      <c r="C5" s="104"/>
      <c r="D5" s="133"/>
      <c r="E5" s="105"/>
      <c r="F5" s="104" t="s">
        <v>70</v>
      </c>
      <c r="G5" s="132"/>
      <c r="H5" s="132"/>
      <c r="K5" s="135">
        <f>IF(Q3="","",VLOOKUP(Q3,'Winter Precipitation Values'!A5:H43,8,TRUE))</f>
        <v>4.4000000000000004</v>
      </c>
      <c r="M5" s="162" t="s">
        <v>73</v>
      </c>
      <c r="N5" s="162"/>
      <c r="O5" s="162"/>
      <c r="P5" s="162"/>
      <c r="Q5" s="159">
        <f ca="1">TODAY()</f>
        <v>41375</v>
      </c>
      <c r="R5" s="160"/>
      <c r="S5" s="160"/>
      <c r="T5" s="160"/>
      <c r="U5" s="161"/>
      <c r="V5" s="137"/>
      <c r="W5" s="100"/>
      <c r="X5" s="156" t="s">
        <v>108</v>
      </c>
      <c r="Y5" s="157"/>
      <c r="Z5" s="158"/>
      <c r="AA5" s="101"/>
      <c r="AB5" s="101"/>
      <c r="AC5" s="101"/>
      <c r="AD5" s="101"/>
      <c r="AE5" s="142"/>
      <c r="AG5" s="102"/>
      <c r="AH5" s="102"/>
      <c r="AI5" s="102"/>
      <c r="AJ5" s="102"/>
      <c r="AK5" s="102"/>
      <c r="AL5" s="102"/>
    </row>
    <row r="6" spans="1:38" ht="15" customHeight="1" thickBot="1" x14ac:dyDescent="0.4">
      <c r="A6" s="100"/>
      <c r="B6" s="152" t="s">
        <v>109</v>
      </c>
      <c r="C6" s="153"/>
      <c r="D6" s="154"/>
      <c r="E6" s="153"/>
      <c r="F6" s="153"/>
      <c r="G6" s="153"/>
      <c r="H6" s="153"/>
      <c r="I6" s="153"/>
      <c r="J6" s="153"/>
      <c r="K6" s="153"/>
      <c r="L6" s="153"/>
      <c r="M6" s="153"/>
      <c r="N6" s="153"/>
      <c r="O6" s="153"/>
      <c r="P6" s="153"/>
      <c r="Q6" s="153"/>
      <c r="R6" s="153"/>
      <c r="S6" s="153"/>
      <c r="T6" s="153"/>
      <c r="U6" s="153"/>
      <c r="V6" s="154"/>
      <c r="W6" s="153"/>
      <c r="X6" s="154"/>
      <c r="Y6" s="154"/>
      <c r="Z6" s="155"/>
      <c r="AA6" s="101"/>
      <c r="AB6" s="101"/>
      <c r="AC6" s="101"/>
      <c r="AD6" s="101"/>
      <c r="AE6" s="142"/>
      <c r="AG6" s="102"/>
      <c r="AH6" s="102"/>
      <c r="AI6" s="102"/>
      <c r="AJ6" s="102"/>
      <c r="AK6" s="102"/>
      <c r="AL6" s="102"/>
    </row>
    <row r="7" spans="1:38" s="109" customFormat="1" ht="93.75" customHeight="1" x14ac:dyDescent="0.3">
      <c r="A7" s="106"/>
      <c r="B7" s="121" t="s">
        <v>13</v>
      </c>
      <c r="C7" s="121" t="s">
        <v>15</v>
      </c>
      <c r="D7" s="122" t="s">
        <v>17</v>
      </c>
      <c r="E7" s="123" t="s">
        <v>72</v>
      </c>
      <c r="F7" s="124" t="s">
        <v>104</v>
      </c>
      <c r="G7" s="125" t="s">
        <v>255</v>
      </c>
      <c r="H7" s="126" t="s">
        <v>32</v>
      </c>
      <c r="I7" s="127" t="s">
        <v>44</v>
      </c>
      <c r="J7" s="125" t="s">
        <v>69</v>
      </c>
      <c r="K7" s="126" t="s">
        <v>29</v>
      </c>
      <c r="L7" s="126" t="s">
        <v>23</v>
      </c>
      <c r="M7" s="126" t="s">
        <v>25</v>
      </c>
      <c r="N7" s="128" t="s">
        <v>40</v>
      </c>
      <c r="O7" s="126" t="s">
        <v>27</v>
      </c>
      <c r="P7" s="126" t="s">
        <v>42</v>
      </c>
      <c r="Q7" s="125" t="s">
        <v>43</v>
      </c>
      <c r="R7" s="126" t="s">
        <v>21</v>
      </c>
      <c r="S7" s="126" t="s">
        <v>105</v>
      </c>
      <c r="T7" s="129" t="s">
        <v>37</v>
      </c>
      <c r="U7" s="130" t="s">
        <v>68</v>
      </c>
      <c r="V7" s="149" t="s">
        <v>38</v>
      </c>
      <c r="W7" s="150"/>
      <c r="X7" s="150"/>
      <c r="Y7" s="151"/>
      <c r="Z7" s="107"/>
      <c r="AA7" s="107"/>
      <c r="AB7" s="107"/>
      <c r="AC7" s="107"/>
      <c r="AD7" s="107"/>
      <c r="AF7" s="108"/>
      <c r="AG7" s="108"/>
      <c r="AH7" s="108"/>
      <c r="AI7" s="108"/>
      <c r="AJ7" s="108"/>
      <c r="AK7" s="108"/>
    </row>
    <row r="8" spans="1:38" ht="15.3" customHeight="1" x14ac:dyDescent="0.3">
      <c r="A8" s="110" t="s">
        <v>66</v>
      </c>
      <c r="B8" s="111">
        <v>0</v>
      </c>
      <c r="C8" s="111" t="s">
        <v>1</v>
      </c>
      <c r="D8" s="111" t="s">
        <v>1</v>
      </c>
      <c r="E8" s="111" t="s">
        <v>1</v>
      </c>
      <c r="F8" s="140" t="str">
        <f>IF(C8=" "," ",IF((E8*0.75)&lt;2.5,12,IF((E8*0.75)&gt;7.5,1,6)))</f>
        <v xml:space="preserve"> </v>
      </c>
      <c r="G8" s="140" t="str">
        <f>IF(C8=" "," ",IF($K$5&lt;E8,1,IF($K$5=E8,1,IF($K$5&lt;=E8+2,6,IF($K$5&lt;=E8+3,9,IF($K$5&gt;E8+3,12))))))</f>
        <v xml:space="preserve"> </v>
      </c>
      <c r="H8" s="111" t="s">
        <v>1</v>
      </c>
      <c r="I8" s="111">
        <v>12</v>
      </c>
      <c r="J8" s="111" t="s">
        <v>1</v>
      </c>
      <c r="K8" s="111" t="s">
        <v>1</v>
      </c>
      <c r="L8" s="111">
        <v>12</v>
      </c>
      <c r="M8" s="111">
        <v>12</v>
      </c>
      <c r="N8" s="111">
        <v>12</v>
      </c>
      <c r="O8" s="111">
        <v>12</v>
      </c>
      <c r="P8" s="111">
        <v>1</v>
      </c>
      <c r="Q8" s="111">
        <v>12</v>
      </c>
      <c r="R8" s="111">
        <v>12</v>
      </c>
      <c r="S8" s="111">
        <v>12</v>
      </c>
      <c r="T8" s="112">
        <f>SUM(F8:S8)</f>
        <v>97</v>
      </c>
      <c r="U8" s="113" t="str">
        <f t="shared" ref="U8:U51" si="0">IF(B8=" "," ",IF(T8&gt;103,"High",IF(T8&lt;63,"Low","Moderate")))</f>
        <v>Moderate</v>
      </c>
      <c r="V8" s="111"/>
      <c r="W8" s="111"/>
      <c r="X8" s="111"/>
      <c r="Y8" s="111"/>
      <c r="Z8" s="114" t="s">
        <v>41</v>
      </c>
      <c r="AA8" s="115"/>
      <c r="AB8" s="101"/>
      <c r="AC8" s="101"/>
      <c r="AD8" s="101"/>
      <c r="AF8" s="143" t="s">
        <v>2</v>
      </c>
      <c r="AG8" s="102"/>
      <c r="AH8" s="102"/>
      <c r="AI8" s="102"/>
      <c r="AJ8" s="102"/>
      <c r="AK8" s="102"/>
    </row>
    <row r="9" spans="1:38" ht="15.3" customHeight="1" x14ac:dyDescent="0.3">
      <c r="A9" s="116" t="s">
        <v>67</v>
      </c>
      <c r="B9" s="116">
        <f>IF(B8=" "," ",B8)</f>
        <v>0</v>
      </c>
      <c r="C9" s="116" t="str">
        <f>C8</f>
        <v xml:space="preserve"> </v>
      </c>
      <c r="D9" s="116" t="str">
        <f t="shared" ref="D9:E9" si="1">IF(D8=" "," ",D8)</f>
        <v xml:space="preserve"> </v>
      </c>
      <c r="E9" s="116" t="str">
        <f t="shared" si="1"/>
        <v xml:space="preserve"> </v>
      </c>
      <c r="F9" s="140" t="str">
        <f t="shared" ref="F9:F46" si="2">IF(C9=" "," ",IF((E9*0.75)&lt;2.5,12,IF((E9*0.75)&gt;7.5,1,6)))</f>
        <v xml:space="preserve"> </v>
      </c>
      <c r="G9" s="140" t="str">
        <f t="shared" ref="G9:G46" si="3">IF(C9=" "," ",IF($K$5&lt;E9,1,IF($K$5=E9,1,IF($K$5&lt;=E9+2,6,IF($K$5&lt;=E9+3,9,IF($K$5&gt;E9+3,12))))))</f>
        <v xml:space="preserve"> </v>
      </c>
      <c r="H9" s="116" t="str">
        <f>IF(H8=" "," ",H8)</f>
        <v xml:space="preserve"> </v>
      </c>
      <c r="I9" s="117"/>
      <c r="J9" s="116" t="str">
        <f t="shared" ref="J9" si="4">IF(J8=" "," ",J8)</f>
        <v xml:space="preserve"> </v>
      </c>
      <c r="K9" s="116" t="str">
        <f t="shared" ref="K9" si="5">IF(K8=" "," ",K8)</f>
        <v xml:space="preserve"> </v>
      </c>
      <c r="L9" s="117"/>
      <c r="M9" s="117"/>
      <c r="N9" s="117"/>
      <c r="O9" s="117"/>
      <c r="P9" s="117"/>
      <c r="Q9" s="117"/>
      <c r="R9" s="117"/>
      <c r="S9" s="117"/>
      <c r="T9" s="112">
        <f t="shared" ref="T9:T51" si="6">SUM(F9:S9)</f>
        <v>0</v>
      </c>
      <c r="U9" s="113" t="str">
        <f t="shared" si="0"/>
        <v>Low</v>
      </c>
      <c r="V9" s="118"/>
      <c r="W9" s="118"/>
      <c r="X9" s="118"/>
      <c r="Y9" s="118"/>
      <c r="Z9" s="114"/>
      <c r="AA9" s="115"/>
      <c r="AB9" s="101"/>
      <c r="AC9" s="101"/>
      <c r="AD9" s="101"/>
      <c r="AF9" s="143" t="s">
        <v>6</v>
      </c>
      <c r="AG9" s="102"/>
      <c r="AH9" s="102"/>
      <c r="AI9" s="102"/>
      <c r="AJ9" s="102"/>
      <c r="AK9" s="102"/>
    </row>
    <row r="10" spans="1:38" ht="15.3" customHeight="1" x14ac:dyDescent="0.3">
      <c r="A10" s="110" t="s">
        <v>66</v>
      </c>
      <c r="B10" s="111" t="s">
        <v>1</v>
      </c>
      <c r="C10" s="111" t="s">
        <v>1</v>
      </c>
      <c r="D10" s="111" t="s">
        <v>1</v>
      </c>
      <c r="E10" s="111" t="s">
        <v>1</v>
      </c>
      <c r="F10" s="140" t="str">
        <f t="shared" si="2"/>
        <v xml:space="preserve"> </v>
      </c>
      <c r="G10" s="140" t="str">
        <f t="shared" si="3"/>
        <v xml:space="preserve"> </v>
      </c>
      <c r="H10" s="111" t="s">
        <v>1</v>
      </c>
      <c r="I10" s="111"/>
      <c r="J10" s="111" t="s">
        <v>1</v>
      </c>
      <c r="K10" s="111" t="s">
        <v>1</v>
      </c>
      <c r="L10" s="111"/>
      <c r="M10" s="111"/>
      <c r="N10" s="111"/>
      <c r="O10" s="111"/>
      <c r="P10" s="111"/>
      <c r="Q10" s="111"/>
      <c r="R10" s="111"/>
      <c r="S10" s="111"/>
      <c r="T10" s="112">
        <f t="shared" si="6"/>
        <v>0</v>
      </c>
      <c r="U10" s="113" t="str">
        <f t="shared" si="0"/>
        <v xml:space="preserve"> </v>
      </c>
      <c r="V10" s="111"/>
      <c r="W10" s="111"/>
      <c r="X10" s="111"/>
      <c r="Y10" s="111"/>
      <c r="Z10" s="119" t="s">
        <v>45</v>
      </c>
      <c r="AA10" s="115" t="s">
        <v>25</v>
      </c>
      <c r="AB10" s="101"/>
      <c r="AC10" s="101"/>
      <c r="AD10" s="101"/>
      <c r="AF10" s="143" t="s">
        <v>10</v>
      </c>
      <c r="AG10" s="102"/>
      <c r="AH10" s="102"/>
      <c r="AI10" s="102"/>
      <c r="AJ10" s="102"/>
      <c r="AK10" s="102"/>
    </row>
    <row r="11" spans="1:38" ht="15" customHeight="1" x14ac:dyDescent="0.3">
      <c r="A11" s="116" t="s">
        <v>67</v>
      </c>
      <c r="B11" s="116" t="str">
        <f>IF(B10=" "," ",B10)</f>
        <v xml:space="preserve"> </v>
      </c>
      <c r="C11" s="116" t="str">
        <f t="shared" ref="C11" si="7">C10</f>
        <v xml:space="preserve"> </v>
      </c>
      <c r="D11" s="116" t="str">
        <f t="shared" ref="D11:E11" si="8">IF(D10=" "," ",D10)</f>
        <v xml:space="preserve"> </v>
      </c>
      <c r="E11" s="116" t="str">
        <f t="shared" si="8"/>
        <v xml:space="preserve"> </v>
      </c>
      <c r="F11" s="140" t="str">
        <f t="shared" si="2"/>
        <v xml:space="preserve"> </v>
      </c>
      <c r="G11" s="140" t="str">
        <f t="shared" si="3"/>
        <v xml:space="preserve"> </v>
      </c>
      <c r="H11" s="116" t="str">
        <f>IF(H10=" "," ",H10)</f>
        <v xml:space="preserve"> </v>
      </c>
      <c r="I11" s="117"/>
      <c r="J11" s="116" t="str">
        <f t="shared" ref="J11" si="9">IF(J10=" "," ",J10)</f>
        <v xml:space="preserve"> </v>
      </c>
      <c r="K11" s="116" t="str">
        <f t="shared" ref="K11" si="10">IF(K10=" "," ",K10)</f>
        <v xml:space="preserve"> </v>
      </c>
      <c r="L11" s="117"/>
      <c r="M11" s="117"/>
      <c r="N11" s="117"/>
      <c r="O11" s="117"/>
      <c r="P11" s="117"/>
      <c r="Q11" s="117"/>
      <c r="R11" s="117"/>
      <c r="S11" s="117"/>
      <c r="T11" s="112">
        <f t="shared" si="6"/>
        <v>0</v>
      </c>
      <c r="U11" s="113" t="str">
        <f t="shared" si="0"/>
        <v xml:space="preserve"> </v>
      </c>
      <c r="V11" s="118"/>
      <c r="W11" s="118"/>
      <c r="X11" s="118"/>
      <c r="Y11" s="118"/>
      <c r="Z11" s="119" t="s">
        <v>47</v>
      </c>
      <c r="AA11" s="115" t="s">
        <v>46</v>
      </c>
      <c r="AB11" s="101"/>
      <c r="AC11" s="101"/>
      <c r="AD11" s="101"/>
      <c r="AF11" s="143" t="s">
        <v>11</v>
      </c>
      <c r="AG11" s="102"/>
      <c r="AH11" s="102"/>
      <c r="AI11" s="102"/>
      <c r="AJ11" s="102"/>
      <c r="AK11" s="102"/>
    </row>
    <row r="12" spans="1:38" ht="15" customHeight="1" x14ac:dyDescent="0.3">
      <c r="A12" s="110" t="s">
        <v>66</v>
      </c>
      <c r="B12" s="111" t="s">
        <v>1</v>
      </c>
      <c r="C12" s="111" t="s">
        <v>1</v>
      </c>
      <c r="D12" s="111" t="s">
        <v>1</v>
      </c>
      <c r="E12" s="111" t="s">
        <v>1</v>
      </c>
      <c r="F12" s="140" t="str">
        <f t="shared" si="2"/>
        <v xml:space="preserve"> </v>
      </c>
      <c r="G12" s="140" t="str">
        <f t="shared" si="3"/>
        <v xml:space="preserve"> </v>
      </c>
      <c r="H12" s="111" t="s">
        <v>1</v>
      </c>
      <c r="I12" s="111"/>
      <c r="J12" s="111" t="s">
        <v>1</v>
      </c>
      <c r="K12" s="111" t="s">
        <v>1</v>
      </c>
      <c r="L12" s="111"/>
      <c r="M12" s="111"/>
      <c r="N12" s="111"/>
      <c r="O12" s="111"/>
      <c r="P12" s="111"/>
      <c r="Q12" s="111"/>
      <c r="R12" s="111"/>
      <c r="S12" s="111"/>
      <c r="T12" s="112">
        <f t="shared" si="6"/>
        <v>0</v>
      </c>
      <c r="U12" s="113" t="str">
        <f t="shared" si="0"/>
        <v xml:space="preserve"> </v>
      </c>
      <c r="V12" s="111"/>
      <c r="W12" s="111"/>
      <c r="X12" s="111"/>
      <c r="Y12" s="111"/>
      <c r="Z12" s="120" t="s">
        <v>48</v>
      </c>
      <c r="AA12" s="115" t="s">
        <v>40</v>
      </c>
      <c r="AB12" s="101"/>
      <c r="AC12" s="101"/>
      <c r="AD12" s="101"/>
      <c r="AF12" s="143" t="s">
        <v>12</v>
      </c>
      <c r="AG12" s="102"/>
      <c r="AH12" s="102"/>
      <c r="AI12" s="102"/>
      <c r="AJ12" s="102"/>
      <c r="AK12" s="102"/>
    </row>
    <row r="13" spans="1:38" ht="15" customHeight="1" x14ac:dyDescent="0.3">
      <c r="A13" s="116" t="s">
        <v>67</v>
      </c>
      <c r="B13" s="116" t="str">
        <f>IF(B12=" "," ",B12)</f>
        <v xml:space="preserve"> </v>
      </c>
      <c r="C13" s="116" t="str">
        <f t="shared" ref="C13" si="11">C12</f>
        <v xml:space="preserve"> </v>
      </c>
      <c r="D13" s="116" t="str">
        <f t="shared" ref="D13:E13" si="12">IF(D12=" "," ",D12)</f>
        <v xml:space="preserve"> </v>
      </c>
      <c r="E13" s="116" t="str">
        <f t="shared" si="12"/>
        <v xml:space="preserve"> </v>
      </c>
      <c r="F13" s="140" t="str">
        <f t="shared" si="2"/>
        <v xml:space="preserve"> </v>
      </c>
      <c r="G13" s="140" t="str">
        <f t="shared" si="3"/>
        <v xml:space="preserve"> </v>
      </c>
      <c r="H13" s="116" t="str">
        <f>IF(H12=" "," ",H12)</f>
        <v xml:space="preserve"> </v>
      </c>
      <c r="I13" s="117"/>
      <c r="J13" s="116" t="str">
        <f t="shared" ref="J13" si="13">IF(J12=" "," ",J12)</f>
        <v xml:space="preserve"> </v>
      </c>
      <c r="K13" s="116" t="str">
        <f t="shared" ref="K13" si="14">IF(K12=" "," ",K12)</f>
        <v xml:space="preserve"> </v>
      </c>
      <c r="L13" s="117"/>
      <c r="M13" s="117"/>
      <c r="N13" s="117"/>
      <c r="O13" s="117"/>
      <c r="P13" s="117"/>
      <c r="Q13" s="117"/>
      <c r="R13" s="117"/>
      <c r="S13" s="117"/>
      <c r="T13" s="112">
        <f t="shared" si="6"/>
        <v>0</v>
      </c>
      <c r="U13" s="113" t="str">
        <f t="shared" si="0"/>
        <v xml:space="preserve"> </v>
      </c>
      <c r="V13" s="118"/>
      <c r="W13" s="118"/>
      <c r="X13" s="118"/>
      <c r="Y13" s="118"/>
      <c r="Z13" s="119" t="s">
        <v>50</v>
      </c>
      <c r="AA13" s="115" t="s">
        <v>49</v>
      </c>
      <c r="AB13" s="101"/>
      <c r="AC13" s="101"/>
      <c r="AD13" s="101"/>
      <c r="AF13" s="143" t="s">
        <v>14</v>
      </c>
      <c r="AG13" s="102"/>
      <c r="AH13" s="102"/>
      <c r="AI13" s="102"/>
      <c r="AJ13" s="102"/>
    </row>
    <row r="14" spans="1:38" ht="15" customHeight="1" x14ac:dyDescent="0.3">
      <c r="A14" s="110" t="s">
        <v>66</v>
      </c>
      <c r="B14" s="111" t="s">
        <v>1</v>
      </c>
      <c r="C14" s="111" t="s">
        <v>1</v>
      </c>
      <c r="D14" s="111" t="s">
        <v>1</v>
      </c>
      <c r="E14" s="111" t="s">
        <v>1</v>
      </c>
      <c r="F14" s="140" t="str">
        <f t="shared" si="2"/>
        <v xml:space="preserve"> </v>
      </c>
      <c r="G14" s="140" t="str">
        <f t="shared" si="3"/>
        <v xml:space="preserve"> </v>
      </c>
      <c r="H14" s="111" t="s">
        <v>1</v>
      </c>
      <c r="I14" s="111"/>
      <c r="J14" s="111" t="s">
        <v>1</v>
      </c>
      <c r="K14" s="111" t="s">
        <v>1</v>
      </c>
      <c r="L14" s="111"/>
      <c r="M14" s="111"/>
      <c r="N14" s="111"/>
      <c r="O14" s="111"/>
      <c r="P14" s="111"/>
      <c r="Q14" s="111"/>
      <c r="R14" s="111"/>
      <c r="S14" s="111"/>
      <c r="T14" s="112">
        <f t="shared" si="6"/>
        <v>0</v>
      </c>
      <c r="U14" s="113" t="str">
        <f t="shared" si="0"/>
        <v xml:space="preserve"> </v>
      </c>
      <c r="V14" s="111"/>
      <c r="W14" s="111"/>
      <c r="X14" s="111"/>
      <c r="Y14" s="111"/>
      <c r="Z14" s="119" t="s">
        <v>52</v>
      </c>
      <c r="AA14" s="115" t="s">
        <v>51</v>
      </c>
      <c r="AB14" s="101"/>
      <c r="AC14" s="101"/>
      <c r="AD14" s="101"/>
      <c r="AF14" s="143" t="s">
        <v>16</v>
      </c>
      <c r="AG14" s="102"/>
      <c r="AH14" s="102"/>
      <c r="AI14" s="102"/>
      <c r="AJ14" s="102"/>
    </row>
    <row r="15" spans="1:38" ht="15" customHeight="1" x14ac:dyDescent="0.3">
      <c r="A15" s="116" t="s">
        <v>67</v>
      </c>
      <c r="B15" s="116" t="str">
        <f>IF(B14=" "," ",B14)</f>
        <v xml:space="preserve"> </v>
      </c>
      <c r="C15" s="116" t="str">
        <f t="shared" ref="C15" si="15">C14</f>
        <v xml:space="preserve"> </v>
      </c>
      <c r="D15" s="116" t="str">
        <f t="shared" ref="D15:E15" si="16">IF(D14=" "," ",D14)</f>
        <v xml:space="preserve"> </v>
      </c>
      <c r="E15" s="116" t="str">
        <f t="shared" si="16"/>
        <v xml:space="preserve"> </v>
      </c>
      <c r="F15" s="140" t="str">
        <f t="shared" si="2"/>
        <v xml:space="preserve"> </v>
      </c>
      <c r="G15" s="140" t="str">
        <f t="shared" si="3"/>
        <v xml:space="preserve"> </v>
      </c>
      <c r="H15" s="116" t="str">
        <f>IF(H14=" "," ",H14)</f>
        <v xml:space="preserve"> </v>
      </c>
      <c r="I15" s="117"/>
      <c r="J15" s="116" t="str">
        <f t="shared" ref="J15" si="17">IF(J14=" "," ",J14)</f>
        <v xml:space="preserve"> </v>
      </c>
      <c r="K15" s="116" t="str">
        <f t="shared" ref="K15" si="18">IF(K14=" "," ",K14)</f>
        <v xml:space="preserve"> </v>
      </c>
      <c r="L15" s="117"/>
      <c r="M15" s="117"/>
      <c r="N15" s="117"/>
      <c r="O15" s="117"/>
      <c r="P15" s="117"/>
      <c r="Q15" s="117"/>
      <c r="R15" s="117"/>
      <c r="S15" s="117"/>
      <c r="T15" s="112">
        <f t="shared" si="6"/>
        <v>0</v>
      </c>
      <c r="U15" s="113" t="str">
        <f t="shared" si="0"/>
        <v xml:space="preserve"> </v>
      </c>
      <c r="V15" s="118"/>
      <c r="W15" s="118"/>
      <c r="X15" s="118"/>
      <c r="Y15" s="118"/>
      <c r="Z15" s="119" t="s">
        <v>54</v>
      </c>
      <c r="AA15" s="115" t="s">
        <v>53</v>
      </c>
      <c r="AB15" s="101"/>
      <c r="AC15" s="101"/>
      <c r="AD15" s="101"/>
      <c r="AF15" s="143" t="s">
        <v>18</v>
      </c>
      <c r="AG15" s="102"/>
      <c r="AH15" s="102"/>
      <c r="AI15" s="102"/>
      <c r="AJ15" s="102"/>
    </row>
    <row r="16" spans="1:38" ht="15" customHeight="1" x14ac:dyDescent="0.3">
      <c r="A16" s="110" t="s">
        <v>66</v>
      </c>
      <c r="B16" s="111" t="s">
        <v>1</v>
      </c>
      <c r="C16" s="111" t="s">
        <v>1</v>
      </c>
      <c r="D16" s="111" t="s">
        <v>1</v>
      </c>
      <c r="E16" s="111" t="s">
        <v>1</v>
      </c>
      <c r="F16" s="140" t="str">
        <f t="shared" si="2"/>
        <v xml:space="preserve"> </v>
      </c>
      <c r="G16" s="140" t="str">
        <f t="shared" si="3"/>
        <v xml:space="preserve"> </v>
      </c>
      <c r="H16" s="111" t="s">
        <v>1</v>
      </c>
      <c r="I16" s="111"/>
      <c r="J16" s="111" t="s">
        <v>1</v>
      </c>
      <c r="K16" s="111" t="s">
        <v>1</v>
      </c>
      <c r="L16" s="111"/>
      <c r="M16" s="111"/>
      <c r="N16" s="111"/>
      <c r="O16" s="111"/>
      <c r="P16" s="111"/>
      <c r="Q16" s="111"/>
      <c r="R16" s="111"/>
      <c r="S16" s="111"/>
      <c r="T16" s="112">
        <f t="shared" si="6"/>
        <v>0</v>
      </c>
      <c r="U16" s="113" t="str">
        <f t="shared" si="0"/>
        <v xml:space="preserve"> </v>
      </c>
      <c r="V16" s="111"/>
      <c r="W16" s="111"/>
      <c r="X16" s="111"/>
      <c r="Y16" s="111"/>
      <c r="Z16" s="119" t="s">
        <v>61</v>
      </c>
      <c r="AA16" s="115" t="s">
        <v>55</v>
      </c>
      <c r="AB16" s="101"/>
      <c r="AC16" s="101"/>
      <c r="AD16" s="101"/>
      <c r="AF16" s="143" t="s">
        <v>19</v>
      </c>
      <c r="AG16" s="102"/>
      <c r="AH16" s="102"/>
      <c r="AI16" s="102"/>
      <c r="AJ16" s="102"/>
    </row>
    <row r="17" spans="1:37" ht="15" customHeight="1" x14ac:dyDescent="0.3">
      <c r="A17" s="116" t="s">
        <v>67</v>
      </c>
      <c r="B17" s="116" t="str">
        <f>IF(B16=" "," ",B16)</f>
        <v xml:space="preserve"> </v>
      </c>
      <c r="C17" s="116" t="str">
        <f t="shared" ref="C17" si="19">C16</f>
        <v xml:space="preserve"> </v>
      </c>
      <c r="D17" s="116" t="str">
        <f t="shared" ref="D17:E17" si="20">IF(D16=" "," ",D16)</f>
        <v xml:space="preserve"> </v>
      </c>
      <c r="E17" s="116" t="str">
        <f t="shared" si="20"/>
        <v xml:space="preserve"> </v>
      </c>
      <c r="F17" s="140" t="str">
        <f t="shared" si="2"/>
        <v xml:space="preserve"> </v>
      </c>
      <c r="G17" s="140" t="str">
        <f t="shared" si="3"/>
        <v xml:space="preserve"> </v>
      </c>
      <c r="H17" s="116" t="str">
        <f>IF(H16=" "," ",H16)</f>
        <v xml:space="preserve"> </v>
      </c>
      <c r="I17" s="117"/>
      <c r="J17" s="116" t="str">
        <f t="shared" ref="J17" si="21">IF(J16=" "," ",J16)</f>
        <v xml:space="preserve"> </v>
      </c>
      <c r="K17" s="116" t="str">
        <f t="shared" ref="K17" si="22">IF(K16=" "," ",K16)</f>
        <v xml:space="preserve"> </v>
      </c>
      <c r="L17" s="117"/>
      <c r="M17" s="117"/>
      <c r="N17" s="117"/>
      <c r="O17" s="117"/>
      <c r="P17" s="117"/>
      <c r="Q17" s="117"/>
      <c r="R17" s="117"/>
      <c r="S17" s="117"/>
      <c r="T17" s="112">
        <f t="shared" si="6"/>
        <v>0</v>
      </c>
      <c r="U17" s="113" t="str">
        <f t="shared" si="0"/>
        <v xml:space="preserve"> </v>
      </c>
      <c r="V17" s="118"/>
      <c r="W17" s="118"/>
      <c r="X17" s="118"/>
      <c r="Y17" s="118"/>
      <c r="Z17" s="120" t="s">
        <v>62</v>
      </c>
      <c r="AA17" s="115" t="s">
        <v>56</v>
      </c>
      <c r="AB17" s="101"/>
      <c r="AC17" s="101"/>
      <c r="AD17" s="101"/>
      <c r="AF17" s="144" t="s">
        <v>20</v>
      </c>
      <c r="AG17" s="102"/>
      <c r="AH17" s="102"/>
      <c r="AI17" s="102"/>
      <c r="AJ17" s="102"/>
    </row>
    <row r="18" spans="1:37" ht="15" customHeight="1" x14ac:dyDescent="0.3">
      <c r="A18" s="110" t="s">
        <v>66</v>
      </c>
      <c r="B18" s="111" t="s">
        <v>1</v>
      </c>
      <c r="C18" s="111" t="s">
        <v>1</v>
      </c>
      <c r="D18" s="111" t="s">
        <v>1</v>
      </c>
      <c r="E18" s="111" t="s">
        <v>1</v>
      </c>
      <c r="F18" s="140" t="str">
        <f t="shared" si="2"/>
        <v xml:space="preserve"> </v>
      </c>
      <c r="G18" s="140" t="str">
        <f t="shared" si="3"/>
        <v xml:space="preserve"> </v>
      </c>
      <c r="H18" s="111" t="s">
        <v>1</v>
      </c>
      <c r="I18" s="111"/>
      <c r="J18" s="111" t="s">
        <v>1</v>
      </c>
      <c r="K18" s="111" t="s">
        <v>1</v>
      </c>
      <c r="L18" s="111"/>
      <c r="M18" s="111"/>
      <c r="N18" s="111"/>
      <c r="O18" s="111"/>
      <c r="P18" s="111"/>
      <c r="Q18" s="111"/>
      <c r="R18" s="111"/>
      <c r="S18" s="111"/>
      <c r="T18" s="112">
        <f t="shared" si="6"/>
        <v>0</v>
      </c>
      <c r="U18" s="113" t="str">
        <f t="shared" si="0"/>
        <v xml:space="preserve"> </v>
      </c>
      <c r="V18" s="111"/>
      <c r="W18" s="111"/>
      <c r="X18" s="111"/>
      <c r="Y18" s="111"/>
      <c r="Z18" s="120" t="s">
        <v>39</v>
      </c>
      <c r="AA18" s="115" t="s">
        <v>57</v>
      </c>
      <c r="AB18" s="101"/>
      <c r="AC18" s="101"/>
      <c r="AD18" s="101"/>
      <c r="AF18" s="145" t="s">
        <v>22</v>
      </c>
      <c r="AG18" s="102"/>
      <c r="AH18" s="102"/>
      <c r="AI18" s="102"/>
      <c r="AJ18" s="102"/>
    </row>
    <row r="19" spans="1:37" ht="15" customHeight="1" x14ac:dyDescent="0.3">
      <c r="A19" s="116" t="s">
        <v>67</v>
      </c>
      <c r="B19" s="116" t="str">
        <f>IF(B18=" "," ",B18)</f>
        <v xml:space="preserve"> </v>
      </c>
      <c r="C19" s="116" t="str">
        <f t="shared" ref="C19" si="23">C18</f>
        <v xml:space="preserve"> </v>
      </c>
      <c r="D19" s="116" t="str">
        <f t="shared" ref="D19:E19" si="24">IF(D18=" "," ",D18)</f>
        <v xml:space="preserve"> </v>
      </c>
      <c r="E19" s="116" t="str">
        <f t="shared" si="24"/>
        <v xml:space="preserve"> </v>
      </c>
      <c r="F19" s="140" t="str">
        <f t="shared" si="2"/>
        <v xml:space="preserve"> </v>
      </c>
      <c r="G19" s="140" t="str">
        <f t="shared" si="3"/>
        <v xml:space="preserve"> </v>
      </c>
      <c r="H19" s="116" t="str">
        <f>IF(H18=" "," ",H18)</f>
        <v xml:space="preserve"> </v>
      </c>
      <c r="I19" s="117"/>
      <c r="J19" s="116" t="str">
        <f t="shared" ref="J19" si="25">IF(J18=" "," ",J18)</f>
        <v xml:space="preserve"> </v>
      </c>
      <c r="K19" s="116" t="str">
        <f t="shared" ref="K19" si="26">IF(K18=" "," ",K18)</f>
        <v xml:space="preserve"> </v>
      </c>
      <c r="L19" s="117"/>
      <c r="M19" s="117"/>
      <c r="N19" s="117"/>
      <c r="O19" s="117"/>
      <c r="P19" s="117"/>
      <c r="Q19" s="117"/>
      <c r="R19" s="117"/>
      <c r="S19" s="117"/>
      <c r="T19" s="112">
        <f t="shared" si="6"/>
        <v>0</v>
      </c>
      <c r="U19" s="113" t="str">
        <f t="shared" si="0"/>
        <v xml:space="preserve"> </v>
      </c>
      <c r="V19" s="118"/>
      <c r="W19" s="118"/>
      <c r="X19" s="118"/>
      <c r="Y19" s="118"/>
      <c r="Z19" s="120" t="s">
        <v>63</v>
      </c>
      <c r="AA19" s="115" t="s">
        <v>58</v>
      </c>
      <c r="AB19" s="101"/>
      <c r="AC19" s="101"/>
      <c r="AD19" s="101"/>
      <c r="AF19" s="144" t="s">
        <v>24</v>
      </c>
      <c r="AG19" s="102"/>
      <c r="AH19" s="102"/>
      <c r="AI19" s="102"/>
      <c r="AJ19" s="102"/>
    </row>
    <row r="20" spans="1:37" s="100" customFormat="1" ht="15" customHeight="1" x14ac:dyDescent="0.3">
      <c r="A20" s="110" t="s">
        <v>66</v>
      </c>
      <c r="B20" s="111" t="s">
        <v>1</v>
      </c>
      <c r="C20" s="111" t="s">
        <v>1</v>
      </c>
      <c r="D20" s="111" t="s">
        <v>1</v>
      </c>
      <c r="E20" s="111" t="s">
        <v>1</v>
      </c>
      <c r="F20" s="140" t="str">
        <f t="shared" si="2"/>
        <v xml:space="preserve"> </v>
      </c>
      <c r="G20" s="140" t="str">
        <f t="shared" si="3"/>
        <v xml:space="preserve"> </v>
      </c>
      <c r="H20" s="111" t="s">
        <v>1</v>
      </c>
      <c r="I20" s="111"/>
      <c r="J20" s="111" t="s">
        <v>1</v>
      </c>
      <c r="K20" s="111" t="s">
        <v>1</v>
      </c>
      <c r="L20" s="111"/>
      <c r="M20" s="111"/>
      <c r="N20" s="111"/>
      <c r="O20" s="111"/>
      <c r="P20" s="111"/>
      <c r="Q20" s="111"/>
      <c r="R20" s="111"/>
      <c r="S20" s="111"/>
      <c r="T20" s="112">
        <f t="shared" si="6"/>
        <v>0</v>
      </c>
      <c r="U20" s="113" t="str">
        <f t="shared" si="0"/>
        <v xml:space="preserve"> </v>
      </c>
      <c r="V20" s="111"/>
      <c r="W20" s="111"/>
      <c r="X20" s="111"/>
      <c r="Y20" s="111"/>
      <c r="Z20" s="120" t="s">
        <v>64</v>
      </c>
      <c r="AA20" s="115" t="s">
        <v>59</v>
      </c>
      <c r="AB20" s="101"/>
      <c r="AC20" s="101"/>
      <c r="AD20" s="101"/>
      <c r="AF20" s="145" t="s">
        <v>26</v>
      </c>
      <c r="AG20" s="101"/>
      <c r="AH20" s="101"/>
      <c r="AI20" s="101"/>
      <c r="AJ20" s="101"/>
    </row>
    <row r="21" spans="1:37" ht="15" customHeight="1" x14ac:dyDescent="0.3">
      <c r="A21" s="116" t="s">
        <v>67</v>
      </c>
      <c r="B21" s="116" t="str">
        <f>IF(B20=" "," ",B20)</f>
        <v xml:space="preserve"> </v>
      </c>
      <c r="C21" s="116" t="str">
        <f t="shared" ref="C21" si="27">C20</f>
        <v xml:space="preserve"> </v>
      </c>
      <c r="D21" s="116" t="str">
        <f t="shared" ref="D21:E21" si="28">IF(D20=" "," ",D20)</f>
        <v xml:space="preserve"> </v>
      </c>
      <c r="E21" s="116" t="str">
        <f t="shared" si="28"/>
        <v xml:space="preserve"> </v>
      </c>
      <c r="F21" s="140" t="str">
        <f t="shared" si="2"/>
        <v xml:space="preserve"> </v>
      </c>
      <c r="G21" s="140" t="str">
        <f t="shared" si="3"/>
        <v xml:space="preserve"> </v>
      </c>
      <c r="H21" s="116" t="str">
        <f>IF(H20=" "," ",H20)</f>
        <v xml:space="preserve"> </v>
      </c>
      <c r="I21" s="117"/>
      <c r="J21" s="116" t="str">
        <f t="shared" ref="J21" si="29">IF(J20=" "," ",J20)</f>
        <v xml:space="preserve"> </v>
      </c>
      <c r="K21" s="116" t="str">
        <f t="shared" ref="K21" si="30">IF(K20=" "," ",K20)</f>
        <v xml:space="preserve"> </v>
      </c>
      <c r="L21" s="117"/>
      <c r="M21" s="117"/>
      <c r="N21" s="117"/>
      <c r="O21" s="117"/>
      <c r="P21" s="117"/>
      <c r="Q21" s="117"/>
      <c r="R21" s="117"/>
      <c r="S21" s="117"/>
      <c r="T21" s="112">
        <f t="shared" si="6"/>
        <v>0</v>
      </c>
      <c r="U21" s="113" t="str">
        <f t="shared" si="0"/>
        <v xml:space="preserve"> </v>
      </c>
      <c r="V21" s="118"/>
      <c r="W21" s="118"/>
      <c r="X21" s="118"/>
      <c r="Y21" s="118"/>
      <c r="Z21" s="120" t="s">
        <v>65</v>
      </c>
      <c r="AA21" s="115" t="s">
        <v>60</v>
      </c>
      <c r="AB21" s="101"/>
      <c r="AC21" s="101"/>
      <c r="AD21" s="101"/>
      <c r="AF21" s="144" t="s">
        <v>28</v>
      </c>
      <c r="AG21" s="102"/>
      <c r="AH21" s="102"/>
      <c r="AI21" s="102"/>
      <c r="AJ21" s="102"/>
    </row>
    <row r="22" spans="1:37" s="100" customFormat="1" ht="15" customHeight="1" x14ac:dyDescent="0.3">
      <c r="A22" s="110" t="s">
        <v>66</v>
      </c>
      <c r="B22" s="111" t="s">
        <v>1</v>
      </c>
      <c r="C22" s="111" t="s">
        <v>1</v>
      </c>
      <c r="D22" s="111" t="s">
        <v>1</v>
      </c>
      <c r="E22" s="111" t="s">
        <v>1</v>
      </c>
      <c r="F22" s="140" t="str">
        <f t="shared" si="2"/>
        <v xml:space="preserve"> </v>
      </c>
      <c r="G22" s="140" t="str">
        <f t="shared" si="3"/>
        <v xml:space="preserve"> </v>
      </c>
      <c r="H22" s="111" t="s">
        <v>1</v>
      </c>
      <c r="I22" s="111"/>
      <c r="J22" s="111" t="s">
        <v>1</v>
      </c>
      <c r="K22" s="111" t="s">
        <v>1</v>
      </c>
      <c r="L22" s="111"/>
      <c r="M22" s="111"/>
      <c r="N22" s="111"/>
      <c r="O22" s="111"/>
      <c r="P22" s="111"/>
      <c r="Q22" s="111"/>
      <c r="R22" s="111"/>
      <c r="S22" s="111"/>
      <c r="T22" s="112">
        <f t="shared" si="6"/>
        <v>0</v>
      </c>
      <c r="U22" s="113" t="str">
        <f t="shared" si="0"/>
        <v xml:space="preserve"> </v>
      </c>
      <c r="V22" s="111"/>
      <c r="W22" s="111"/>
      <c r="X22" s="111"/>
      <c r="Y22" s="111"/>
      <c r="Z22" s="101"/>
      <c r="AA22" s="101"/>
      <c r="AB22" s="101"/>
      <c r="AC22" s="101"/>
      <c r="AD22" s="101"/>
      <c r="AF22" s="145" t="s">
        <v>30</v>
      </c>
      <c r="AG22" s="101"/>
      <c r="AH22" s="101"/>
      <c r="AI22" s="101"/>
      <c r="AJ22" s="101"/>
    </row>
    <row r="23" spans="1:37" ht="15" customHeight="1" x14ac:dyDescent="0.3">
      <c r="A23" s="116" t="s">
        <v>67</v>
      </c>
      <c r="B23" s="116" t="str">
        <f>IF(B22=" "," ",B22)</f>
        <v xml:space="preserve"> </v>
      </c>
      <c r="C23" s="116" t="str">
        <f t="shared" ref="C23" si="31">C22</f>
        <v xml:space="preserve"> </v>
      </c>
      <c r="D23" s="116" t="str">
        <f t="shared" ref="D23:E23" si="32">IF(D22=" "," ",D22)</f>
        <v xml:space="preserve"> </v>
      </c>
      <c r="E23" s="116" t="str">
        <f t="shared" si="32"/>
        <v xml:space="preserve"> </v>
      </c>
      <c r="F23" s="140" t="str">
        <f t="shared" si="2"/>
        <v xml:space="preserve"> </v>
      </c>
      <c r="G23" s="140" t="str">
        <f t="shared" si="3"/>
        <v xml:space="preserve"> </v>
      </c>
      <c r="H23" s="116" t="str">
        <f>IF(H22=" "," ",H22)</f>
        <v xml:space="preserve"> </v>
      </c>
      <c r="I23" s="117"/>
      <c r="J23" s="116" t="str">
        <f t="shared" ref="J23" si="33">IF(J22=" "," ",J22)</f>
        <v xml:space="preserve"> </v>
      </c>
      <c r="K23" s="116" t="str">
        <f t="shared" ref="K23" si="34">IF(K22=" "," ",K22)</f>
        <v xml:space="preserve"> </v>
      </c>
      <c r="L23" s="117"/>
      <c r="M23" s="117"/>
      <c r="N23" s="117"/>
      <c r="O23" s="117"/>
      <c r="P23" s="117"/>
      <c r="Q23" s="117"/>
      <c r="R23" s="117"/>
      <c r="S23" s="117"/>
      <c r="T23" s="112">
        <f t="shared" si="6"/>
        <v>0</v>
      </c>
      <c r="U23" s="113" t="str">
        <f t="shared" si="0"/>
        <v xml:space="preserve"> </v>
      </c>
      <c r="V23" s="118"/>
      <c r="W23" s="118"/>
      <c r="X23" s="118"/>
      <c r="Y23" s="118"/>
      <c r="Z23" s="101"/>
      <c r="AA23" s="101"/>
      <c r="AB23" s="101"/>
      <c r="AC23" s="101"/>
      <c r="AD23" s="101"/>
      <c r="AF23" s="144" t="s">
        <v>31</v>
      </c>
      <c r="AG23" s="102"/>
      <c r="AH23" s="102"/>
      <c r="AI23" s="102"/>
      <c r="AJ23" s="102"/>
    </row>
    <row r="24" spans="1:37" ht="15" customHeight="1" x14ac:dyDescent="0.3">
      <c r="A24" s="110" t="s">
        <v>66</v>
      </c>
      <c r="B24" s="111" t="s">
        <v>1</v>
      </c>
      <c r="C24" s="111" t="s">
        <v>1</v>
      </c>
      <c r="D24" s="111" t="s">
        <v>1</v>
      </c>
      <c r="E24" s="111" t="s">
        <v>1</v>
      </c>
      <c r="F24" s="140" t="str">
        <f t="shared" si="2"/>
        <v xml:space="preserve"> </v>
      </c>
      <c r="G24" s="140" t="str">
        <f t="shared" si="3"/>
        <v xml:space="preserve"> </v>
      </c>
      <c r="H24" s="111" t="s">
        <v>1</v>
      </c>
      <c r="I24" s="111"/>
      <c r="J24" s="111" t="s">
        <v>1</v>
      </c>
      <c r="K24" s="111" t="s">
        <v>1</v>
      </c>
      <c r="L24" s="111"/>
      <c r="M24" s="111"/>
      <c r="N24" s="111"/>
      <c r="O24" s="111"/>
      <c r="P24" s="111"/>
      <c r="Q24" s="111"/>
      <c r="R24" s="111"/>
      <c r="S24" s="111"/>
      <c r="T24" s="112">
        <f t="shared" si="6"/>
        <v>0</v>
      </c>
      <c r="U24" s="113" t="str">
        <f t="shared" si="0"/>
        <v xml:space="preserve"> </v>
      </c>
      <c r="V24" s="111"/>
      <c r="W24" s="111"/>
      <c r="X24" s="111"/>
      <c r="Y24" s="111"/>
      <c r="Z24" s="101">
        <v>23.5</v>
      </c>
      <c r="AA24" s="101"/>
      <c r="AB24" s="101"/>
      <c r="AC24" s="101"/>
      <c r="AD24" s="101"/>
      <c r="AF24" s="145" t="s">
        <v>33</v>
      </c>
      <c r="AG24" s="102"/>
      <c r="AH24" s="102"/>
      <c r="AI24" s="102"/>
      <c r="AJ24" s="102"/>
    </row>
    <row r="25" spans="1:37" ht="15" customHeight="1" x14ac:dyDescent="0.3">
      <c r="A25" s="116" t="s">
        <v>67</v>
      </c>
      <c r="B25" s="116" t="str">
        <f>IF(B24=" "," ",B24)</f>
        <v xml:space="preserve"> </v>
      </c>
      <c r="C25" s="116" t="str">
        <f t="shared" ref="C25" si="35">C24</f>
        <v xml:space="preserve"> </v>
      </c>
      <c r="D25" s="116" t="str">
        <f t="shared" ref="D25:E25" si="36">IF(D24=" "," ",D24)</f>
        <v xml:space="preserve"> </v>
      </c>
      <c r="E25" s="116" t="str">
        <f t="shared" si="36"/>
        <v xml:space="preserve"> </v>
      </c>
      <c r="F25" s="140" t="str">
        <f t="shared" si="2"/>
        <v xml:space="preserve"> </v>
      </c>
      <c r="G25" s="140" t="str">
        <f t="shared" si="3"/>
        <v xml:space="preserve"> </v>
      </c>
      <c r="H25" s="116" t="str">
        <f>IF(H24=" "," ",H24)</f>
        <v xml:space="preserve"> </v>
      </c>
      <c r="I25" s="117"/>
      <c r="J25" s="116" t="str">
        <f t="shared" ref="J25" si="37">IF(J24=" "," ",J24)</f>
        <v xml:space="preserve"> </v>
      </c>
      <c r="K25" s="116" t="str">
        <f t="shared" ref="K25" si="38">IF(K24=" "," ",K24)</f>
        <v xml:space="preserve"> </v>
      </c>
      <c r="L25" s="117"/>
      <c r="M25" s="117"/>
      <c r="N25" s="117"/>
      <c r="O25" s="117"/>
      <c r="P25" s="117"/>
      <c r="Q25" s="117"/>
      <c r="R25" s="117"/>
      <c r="S25" s="117"/>
      <c r="T25" s="112">
        <f t="shared" si="6"/>
        <v>0</v>
      </c>
      <c r="U25" s="113" t="str">
        <f t="shared" si="0"/>
        <v xml:space="preserve"> </v>
      </c>
      <c r="V25" s="118"/>
      <c r="W25" s="118"/>
      <c r="X25" s="118"/>
      <c r="Y25" s="118"/>
      <c r="Z25" s="101">
        <v>144</v>
      </c>
      <c r="AA25" s="101"/>
      <c r="AB25" s="101"/>
      <c r="AC25" s="101"/>
      <c r="AD25" s="101"/>
      <c r="AF25" s="144" t="s">
        <v>34</v>
      </c>
      <c r="AG25" s="102"/>
      <c r="AH25" s="102"/>
      <c r="AI25" s="102"/>
      <c r="AJ25" s="102"/>
    </row>
    <row r="26" spans="1:37" ht="15" customHeight="1" x14ac:dyDescent="0.3">
      <c r="A26" s="110" t="s">
        <v>66</v>
      </c>
      <c r="B26" s="111" t="s">
        <v>1</v>
      </c>
      <c r="C26" s="111" t="s">
        <v>1</v>
      </c>
      <c r="D26" s="111" t="s">
        <v>1</v>
      </c>
      <c r="E26" s="111" t="s">
        <v>1</v>
      </c>
      <c r="F26" s="140" t="str">
        <f t="shared" si="2"/>
        <v xml:space="preserve"> </v>
      </c>
      <c r="G26" s="140" t="str">
        <f t="shared" si="3"/>
        <v xml:space="preserve"> </v>
      </c>
      <c r="H26" s="111" t="s">
        <v>1</v>
      </c>
      <c r="I26" s="111"/>
      <c r="J26" s="111" t="s">
        <v>1</v>
      </c>
      <c r="K26" s="111" t="s">
        <v>1</v>
      </c>
      <c r="L26" s="111"/>
      <c r="M26" s="111"/>
      <c r="N26" s="111"/>
      <c r="O26" s="111"/>
      <c r="P26" s="111"/>
      <c r="Q26" s="111"/>
      <c r="R26" s="111"/>
      <c r="S26" s="111"/>
      <c r="T26" s="112">
        <f t="shared" si="6"/>
        <v>0</v>
      </c>
      <c r="U26" s="113" t="str">
        <f t="shared" si="0"/>
        <v xml:space="preserve"> </v>
      </c>
      <c r="V26" s="111"/>
      <c r="W26" s="111"/>
      <c r="X26" s="111"/>
      <c r="Y26" s="111"/>
      <c r="Z26" s="101">
        <f>Z25-Z24</f>
        <v>120.5</v>
      </c>
      <c r="AA26" s="101"/>
      <c r="AB26" s="101"/>
      <c r="AC26" s="101"/>
      <c r="AD26" s="101"/>
      <c r="AF26" s="145" t="s">
        <v>35</v>
      </c>
      <c r="AG26" s="102"/>
      <c r="AH26" s="102"/>
      <c r="AI26" s="102"/>
      <c r="AJ26" s="102"/>
    </row>
    <row r="27" spans="1:37" ht="15" customHeight="1" x14ac:dyDescent="0.3">
      <c r="A27" s="116" t="s">
        <v>67</v>
      </c>
      <c r="B27" s="116" t="str">
        <f>IF(B26=" "," ",B26)</f>
        <v xml:space="preserve"> </v>
      </c>
      <c r="C27" s="116" t="str">
        <f t="shared" ref="C27" si="39">C26</f>
        <v xml:space="preserve"> </v>
      </c>
      <c r="D27" s="116" t="str">
        <f t="shared" ref="D27:E27" si="40">IF(D26=" "," ",D26)</f>
        <v xml:space="preserve"> </v>
      </c>
      <c r="E27" s="116" t="str">
        <f t="shared" si="40"/>
        <v xml:space="preserve"> </v>
      </c>
      <c r="F27" s="140" t="str">
        <f t="shared" si="2"/>
        <v xml:space="preserve"> </v>
      </c>
      <c r="G27" s="140" t="str">
        <f t="shared" si="3"/>
        <v xml:space="preserve"> </v>
      </c>
      <c r="H27" s="116" t="str">
        <f>IF(H26=" "," ",H26)</f>
        <v xml:space="preserve"> </v>
      </c>
      <c r="I27" s="117"/>
      <c r="J27" s="116" t="str">
        <f t="shared" ref="J27" si="41">IF(J26=" "," ",J26)</f>
        <v xml:space="preserve"> </v>
      </c>
      <c r="K27" s="116" t="str">
        <f t="shared" ref="K27" si="42">IF(K26=" "," ",K26)</f>
        <v xml:space="preserve"> </v>
      </c>
      <c r="L27" s="117"/>
      <c r="M27" s="117"/>
      <c r="N27" s="117"/>
      <c r="O27" s="117"/>
      <c r="P27" s="117"/>
      <c r="Q27" s="117"/>
      <c r="R27" s="117"/>
      <c r="S27" s="117"/>
      <c r="T27" s="112">
        <f t="shared" si="6"/>
        <v>0</v>
      </c>
      <c r="U27" s="113" t="str">
        <f t="shared" si="0"/>
        <v xml:space="preserve"> </v>
      </c>
      <c r="V27" s="118"/>
      <c r="W27" s="118"/>
      <c r="X27" s="118"/>
      <c r="Y27" s="118"/>
      <c r="Z27" s="101">
        <f>Z26/3</f>
        <v>40.166666666666664</v>
      </c>
      <c r="AA27" s="101"/>
      <c r="AB27" s="101"/>
      <c r="AC27" s="101"/>
      <c r="AD27" s="101"/>
      <c r="AF27" s="144" t="s">
        <v>36</v>
      </c>
      <c r="AG27" s="102"/>
      <c r="AH27" s="102"/>
      <c r="AI27" s="102"/>
      <c r="AJ27" s="102"/>
    </row>
    <row r="28" spans="1:37" ht="15" customHeight="1" x14ac:dyDescent="0.3">
      <c r="A28" s="110" t="s">
        <v>66</v>
      </c>
      <c r="B28" s="111" t="s">
        <v>1</v>
      </c>
      <c r="C28" s="111" t="s">
        <v>1</v>
      </c>
      <c r="D28" s="111" t="s">
        <v>1</v>
      </c>
      <c r="E28" s="111" t="s">
        <v>1</v>
      </c>
      <c r="F28" s="140" t="str">
        <f t="shared" si="2"/>
        <v xml:space="preserve"> </v>
      </c>
      <c r="G28" s="140" t="str">
        <f t="shared" si="3"/>
        <v xml:space="preserve"> </v>
      </c>
      <c r="H28" s="111" t="s">
        <v>1</v>
      </c>
      <c r="I28" s="111"/>
      <c r="J28" s="111" t="s">
        <v>1</v>
      </c>
      <c r="K28" s="111" t="s">
        <v>1</v>
      </c>
      <c r="L28" s="111"/>
      <c r="M28" s="111"/>
      <c r="N28" s="111"/>
      <c r="O28" s="111"/>
      <c r="P28" s="111"/>
      <c r="Q28" s="111"/>
      <c r="R28" s="111"/>
      <c r="S28" s="111"/>
      <c r="T28" s="112">
        <f t="shared" si="6"/>
        <v>0</v>
      </c>
      <c r="U28" s="113" t="str">
        <f t="shared" si="0"/>
        <v xml:space="preserve"> </v>
      </c>
      <c r="V28" s="111"/>
      <c r="W28" s="111"/>
      <c r="X28" s="111"/>
      <c r="Y28" s="111"/>
      <c r="Z28" s="101">
        <f>Z27+Z24</f>
        <v>63.666666666666664</v>
      </c>
      <c r="AA28" s="101"/>
      <c r="AB28" s="101"/>
      <c r="AC28" s="101"/>
      <c r="AD28" s="101"/>
      <c r="AF28" s="145" t="s">
        <v>85</v>
      </c>
      <c r="AG28" s="102"/>
      <c r="AH28" s="102"/>
      <c r="AI28" s="102"/>
      <c r="AJ28" s="102"/>
    </row>
    <row r="29" spans="1:37" ht="15" customHeight="1" x14ac:dyDescent="0.3">
      <c r="A29" s="116" t="s">
        <v>67</v>
      </c>
      <c r="B29" s="116" t="str">
        <f>IF(B28=" "," ",B28)</f>
        <v xml:space="preserve"> </v>
      </c>
      <c r="C29" s="116" t="str">
        <f t="shared" ref="C29" si="43">C28</f>
        <v xml:space="preserve"> </v>
      </c>
      <c r="D29" s="116" t="str">
        <f t="shared" ref="D29:E29" si="44">IF(D28=" "," ",D28)</f>
        <v xml:space="preserve"> </v>
      </c>
      <c r="E29" s="116" t="str">
        <f t="shared" si="44"/>
        <v xml:space="preserve"> </v>
      </c>
      <c r="F29" s="140" t="str">
        <f t="shared" si="2"/>
        <v xml:space="preserve"> </v>
      </c>
      <c r="G29" s="140" t="str">
        <f t="shared" si="3"/>
        <v xml:space="preserve"> </v>
      </c>
      <c r="H29" s="116" t="str">
        <f>IF(H28=" "," ",H28)</f>
        <v xml:space="preserve"> </v>
      </c>
      <c r="I29" s="117"/>
      <c r="J29" s="116" t="str">
        <f t="shared" ref="J29" si="45">IF(J28=" "," ",J28)</f>
        <v xml:space="preserve"> </v>
      </c>
      <c r="K29" s="116" t="str">
        <f t="shared" ref="K29" si="46">IF(K28=" "," ",K28)</f>
        <v xml:space="preserve"> </v>
      </c>
      <c r="L29" s="117"/>
      <c r="M29" s="117"/>
      <c r="N29" s="117"/>
      <c r="O29" s="117"/>
      <c r="P29" s="117"/>
      <c r="Q29" s="117"/>
      <c r="R29" s="117"/>
      <c r="S29" s="117"/>
      <c r="T29" s="112">
        <f t="shared" si="6"/>
        <v>0</v>
      </c>
      <c r="U29" s="113" t="str">
        <f t="shared" si="0"/>
        <v xml:space="preserve"> </v>
      </c>
      <c r="V29" s="118"/>
      <c r="W29" s="118"/>
      <c r="X29" s="118"/>
      <c r="Y29" s="118"/>
      <c r="Z29" s="101"/>
      <c r="AA29" s="101"/>
      <c r="AB29" s="101"/>
      <c r="AC29" s="101"/>
      <c r="AD29" s="101"/>
      <c r="AF29" s="144" t="s">
        <v>86</v>
      </c>
      <c r="AG29" s="102"/>
      <c r="AH29" s="102"/>
      <c r="AI29" s="102"/>
      <c r="AJ29" s="102"/>
      <c r="AK29" s="102"/>
    </row>
    <row r="30" spans="1:37" ht="15" customHeight="1" x14ac:dyDescent="0.3">
      <c r="A30" s="110" t="s">
        <v>66</v>
      </c>
      <c r="B30" s="111" t="s">
        <v>1</v>
      </c>
      <c r="C30" s="111" t="s">
        <v>1</v>
      </c>
      <c r="D30" s="111" t="s">
        <v>1</v>
      </c>
      <c r="E30" s="111" t="s">
        <v>1</v>
      </c>
      <c r="F30" s="140" t="str">
        <f t="shared" si="2"/>
        <v xml:space="preserve"> </v>
      </c>
      <c r="G30" s="140" t="str">
        <f t="shared" si="3"/>
        <v xml:space="preserve"> </v>
      </c>
      <c r="H30" s="111" t="s">
        <v>1</v>
      </c>
      <c r="I30" s="111"/>
      <c r="J30" s="111" t="s">
        <v>1</v>
      </c>
      <c r="K30" s="111" t="s">
        <v>1</v>
      </c>
      <c r="L30" s="111"/>
      <c r="M30" s="111"/>
      <c r="N30" s="111"/>
      <c r="O30" s="111"/>
      <c r="P30" s="111"/>
      <c r="Q30" s="111"/>
      <c r="R30" s="111"/>
      <c r="S30" s="111"/>
      <c r="T30" s="112">
        <f t="shared" si="6"/>
        <v>0</v>
      </c>
      <c r="U30" s="113" t="str">
        <f t="shared" si="0"/>
        <v xml:space="preserve"> </v>
      </c>
      <c r="V30" s="111"/>
      <c r="W30" s="111"/>
      <c r="X30" s="111"/>
      <c r="Y30" s="111"/>
      <c r="Z30" s="101"/>
      <c r="AA30" s="101"/>
      <c r="AB30" s="101"/>
      <c r="AC30" s="101"/>
      <c r="AD30" s="101"/>
      <c r="AF30" s="145" t="s">
        <v>5</v>
      </c>
      <c r="AG30" s="102"/>
      <c r="AH30" s="102"/>
      <c r="AI30" s="102"/>
      <c r="AJ30" s="102"/>
      <c r="AK30" s="102"/>
    </row>
    <row r="31" spans="1:37" ht="15" customHeight="1" x14ac:dyDescent="0.3">
      <c r="A31" s="116" t="s">
        <v>67</v>
      </c>
      <c r="B31" s="116" t="str">
        <f>IF(B30=" "," ",B30)</f>
        <v xml:space="preserve"> </v>
      </c>
      <c r="C31" s="116" t="str">
        <f t="shared" ref="C31" si="47">C30</f>
        <v xml:space="preserve"> </v>
      </c>
      <c r="D31" s="116" t="str">
        <f t="shared" ref="D31:E31" si="48">IF(D30=" "," ",D30)</f>
        <v xml:space="preserve"> </v>
      </c>
      <c r="E31" s="116" t="str">
        <f t="shared" si="48"/>
        <v xml:space="preserve"> </v>
      </c>
      <c r="F31" s="140" t="str">
        <f t="shared" si="2"/>
        <v xml:space="preserve"> </v>
      </c>
      <c r="G31" s="140" t="str">
        <f t="shared" si="3"/>
        <v xml:space="preserve"> </v>
      </c>
      <c r="H31" s="116" t="str">
        <f>IF(H30=" "," ",H30)</f>
        <v xml:space="preserve"> </v>
      </c>
      <c r="I31" s="117"/>
      <c r="J31" s="116" t="str">
        <f t="shared" ref="J31" si="49">IF(J30=" "," ",J30)</f>
        <v xml:space="preserve"> </v>
      </c>
      <c r="K31" s="116" t="str">
        <f t="shared" ref="K31" si="50">IF(K30=" "," ",K30)</f>
        <v xml:space="preserve"> </v>
      </c>
      <c r="L31" s="117"/>
      <c r="M31" s="117"/>
      <c r="N31" s="117"/>
      <c r="O31" s="117"/>
      <c r="P31" s="117"/>
      <c r="Q31" s="117"/>
      <c r="R31" s="117"/>
      <c r="S31" s="117"/>
      <c r="T31" s="112">
        <f t="shared" si="6"/>
        <v>0</v>
      </c>
      <c r="U31" s="113" t="str">
        <f t="shared" si="0"/>
        <v xml:space="preserve"> </v>
      </c>
      <c r="V31" s="118"/>
      <c r="W31" s="118"/>
      <c r="X31" s="118"/>
      <c r="Y31" s="118"/>
      <c r="Z31" s="101"/>
      <c r="AA31" s="101"/>
      <c r="AB31" s="101"/>
      <c r="AC31" s="101"/>
      <c r="AD31" s="101"/>
      <c r="AF31" s="144" t="s">
        <v>87</v>
      </c>
      <c r="AG31" s="102"/>
      <c r="AH31" s="102"/>
      <c r="AI31" s="102"/>
      <c r="AJ31" s="102"/>
      <c r="AK31" s="102"/>
    </row>
    <row r="32" spans="1:37" ht="15" customHeight="1" x14ac:dyDescent="0.3">
      <c r="A32" s="110" t="s">
        <v>66</v>
      </c>
      <c r="B32" s="111" t="s">
        <v>1</v>
      </c>
      <c r="C32" s="111" t="s">
        <v>1</v>
      </c>
      <c r="D32" s="111" t="s">
        <v>1</v>
      </c>
      <c r="E32" s="111" t="s">
        <v>1</v>
      </c>
      <c r="F32" s="140" t="str">
        <f t="shared" si="2"/>
        <v xml:space="preserve"> </v>
      </c>
      <c r="G32" s="140" t="str">
        <f t="shared" si="3"/>
        <v xml:space="preserve"> </v>
      </c>
      <c r="H32" s="111" t="s">
        <v>1</v>
      </c>
      <c r="I32" s="111"/>
      <c r="J32" s="111" t="s">
        <v>1</v>
      </c>
      <c r="K32" s="111" t="s">
        <v>1</v>
      </c>
      <c r="L32" s="111"/>
      <c r="M32" s="111"/>
      <c r="N32" s="111"/>
      <c r="O32" s="111"/>
      <c r="P32" s="111"/>
      <c r="Q32" s="111"/>
      <c r="R32" s="111"/>
      <c r="S32" s="111"/>
      <c r="T32" s="112">
        <f t="shared" si="6"/>
        <v>0</v>
      </c>
      <c r="U32" s="113" t="str">
        <f t="shared" si="0"/>
        <v xml:space="preserve"> </v>
      </c>
      <c r="V32" s="111"/>
      <c r="W32" s="111"/>
      <c r="X32" s="111"/>
      <c r="Y32" s="111"/>
      <c r="Z32" s="101"/>
      <c r="AA32" s="101"/>
      <c r="AB32" s="101"/>
      <c r="AC32" s="102"/>
      <c r="AD32" s="102"/>
      <c r="AF32" s="145" t="s">
        <v>88</v>
      </c>
      <c r="AG32" s="102"/>
      <c r="AH32" s="102"/>
      <c r="AI32" s="102"/>
      <c r="AJ32" s="102"/>
      <c r="AK32" s="102"/>
    </row>
    <row r="33" spans="1:37" ht="15" customHeight="1" x14ac:dyDescent="0.3">
      <c r="A33" s="116" t="s">
        <v>67</v>
      </c>
      <c r="B33" s="116" t="str">
        <f>IF(B32=" "," ",B32)</f>
        <v xml:space="preserve"> </v>
      </c>
      <c r="C33" s="116" t="str">
        <f t="shared" ref="C33" si="51">C32</f>
        <v xml:space="preserve"> </v>
      </c>
      <c r="D33" s="116" t="str">
        <f t="shared" ref="D33:E33" si="52">IF(D32=" "," ",D32)</f>
        <v xml:space="preserve"> </v>
      </c>
      <c r="E33" s="116" t="str">
        <f t="shared" si="52"/>
        <v xml:space="preserve"> </v>
      </c>
      <c r="F33" s="140" t="str">
        <f t="shared" si="2"/>
        <v xml:space="preserve"> </v>
      </c>
      <c r="G33" s="140" t="str">
        <f t="shared" si="3"/>
        <v xml:space="preserve"> </v>
      </c>
      <c r="H33" s="116" t="str">
        <f>IF(H32=" "," ",H32)</f>
        <v xml:space="preserve"> </v>
      </c>
      <c r="I33" s="117"/>
      <c r="J33" s="116" t="str">
        <f t="shared" ref="J33" si="53">IF(J32=" "," ",J32)</f>
        <v xml:space="preserve"> </v>
      </c>
      <c r="K33" s="116" t="str">
        <f t="shared" ref="K33" si="54">IF(K32=" "," ",K32)</f>
        <v xml:space="preserve"> </v>
      </c>
      <c r="L33" s="117"/>
      <c r="M33" s="117"/>
      <c r="N33" s="117"/>
      <c r="O33" s="117"/>
      <c r="P33" s="117"/>
      <c r="Q33" s="117"/>
      <c r="R33" s="117"/>
      <c r="S33" s="117"/>
      <c r="T33" s="112">
        <f t="shared" si="6"/>
        <v>0</v>
      </c>
      <c r="U33" s="113" t="str">
        <f t="shared" si="0"/>
        <v xml:space="preserve"> </v>
      </c>
      <c r="V33" s="118"/>
      <c r="W33" s="118"/>
      <c r="X33" s="118"/>
      <c r="Y33" s="118"/>
      <c r="Z33" s="102"/>
      <c r="AA33" s="102"/>
      <c r="AB33" s="102"/>
      <c r="AC33" s="102"/>
      <c r="AD33" s="102"/>
      <c r="AF33" s="144" t="s">
        <v>89</v>
      </c>
      <c r="AG33" s="102"/>
      <c r="AH33" s="102"/>
      <c r="AI33" s="102"/>
      <c r="AJ33" s="102"/>
      <c r="AK33" s="102"/>
    </row>
    <row r="34" spans="1:37" ht="15" customHeight="1" x14ac:dyDescent="0.3">
      <c r="A34" s="110" t="s">
        <v>66</v>
      </c>
      <c r="B34" s="111" t="s">
        <v>1</v>
      </c>
      <c r="C34" s="111" t="s">
        <v>1</v>
      </c>
      <c r="D34" s="111" t="s">
        <v>1</v>
      </c>
      <c r="E34" s="111" t="s">
        <v>1</v>
      </c>
      <c r="F34" s="140" t="str">
        <f t="shared" si="2"/>
        <v xml:space="preserve"> </v>
      </c>
      <c r="G34" s="140" t="str">
        <f t="shared" si="3"/>
        <v xml:space="preserve"> </v>
      </c>
      <c r="H34" s="111" t="s">
        <v>1</v>
      </c>
      <c r="I34" s="111"/>
      <c r="J34" s="111" t="s">
        <v>1</v>
      </c>
      <c r="K34" s="111" t="s">
        <v>1</v>
      </c>
      <c r="L34" s="111"/>
      <c r="M34" s="111"/>
      <c r="N34" s="111"/>
      <c r="O34" s="111"/>
      <c r="P34" s="111"/>
      <c r="Q34" s="111"/>
      <c r="R34" s="111"/>
      <c r="S34" s="111"/>
      <c r="T34" s="112">
        <f t="shared" si="6"/>
        <v>0</v>
      </c>
      <c r="U34" s="113" t="str">
        <f t="shared" si="0"/>
        <v xml:space="preserve"> </v>
      </c>
      <c r="V34" s="111"/>
      <c r="W34" s="111"/>
      <c r="X34" s="111"/>
      <c r="Y34" s="111"/>
      <c r="Z34" s="102"/>
      <c r="AA34" s="102"/>
      <c r="AB34" s="102"/>
      <c r="AC34" s="102"/>
      <c r="AD34" s="102"/>
      <c r="AF34" s="145" t="s">
        <v>90</v>
      </c>
      <c r="AG34" s="102"/>
      <c r="AH34" s="102"/>
      <c r="AI34" s="102"/>
      <c r="AJ34" s="102"/>
      <c r="AK34" s="102"/>
    </row>
    <row r="35" spans="1:37" ht="15" customHeight="1" x14ac:dyDescent="0.3">
      <c r="A35" s="116" t="s">
        <v>67</v>
      </c>
      <c r="B35" s="116" t="str">
        <f>IF(B34=" "," ",B34)</f>
        <v xml:space="preserve"> </v>
      </c>
      <c r="C35" s="117" t="str">
        <f t="shared" ref="C35" si="55">C34</f>
        <v xml:space="preserve"> </v>
      </c>
      <c r="D35" s="116" t="str">
        <f t="shared" ref="D35:E35" si="56">IF(D34=" "," ",D34)</f>
        <v xml:space="preserve"> </v>
      </c>
      <c r="E35" s="116" t="str">
        <f t="shared" si="56"/>
        <v xml:space="preserve"> </v>
      </c>
      <c r="F35" s="140" t="str">
        <f t="shared" si="2"/>
        <v xml:space="preserve"> </v>
      </c>
      <c r="G35" s="140" t="str">
        <f t="shared" si="3"/>
        <v xml:space="preserve"> </v>
      </c>
      <c r="H35" s="116" t="str">
        <f>IF(H34=" "," ",H34)</f>
        <v xml:space="preserve"> </v>
      </c>
      <c r="I35" s="117"/>
      <c r="J35" s="116" t="str">
        <f t="shared" ref="J35" si="57">IF(J34=" "," ",J34)</f>
        <v xml:space="preserve"> </v>
      </c>
      <c r="K35" s="116" t="str">
        <f t="shared" ref="K35" si="58">IF(K34=" "," ",K34)</f>
        <v xml:space="preserve"> </v>
      </c>
      <c r="L35" s="117"/>
      <c r="M35" s="117"/>
      <c r="N35" s="117"/>
      <c r="O35" s="117"/>
      <c r="P35" s="117"/>
      <c r="Q35" s="117"/>
      <c r="R35" s="117"/>
      <c r="S35" s="117"/>
      <c r="T35" s="112">
        <f t="shared" si="6"/>
        <v>0</v>
      </c>
      <c r="U35" s="113" t="str">
        <f t="shared" si="0"/>
        <v xml:space="preserve"> </v>
      </c>
      <c r="V35" s="118"/>
      <c r="W35" s="118"/>
      <c r="X35" s="118"/>
      <c r="Y35" s="118"/>
      <c r="Z35" s="102"/>
      <c r="AA35" s="102"/>
      <c r="AB35" s="102"/>
      <c r="AC35" s="102"/>
      <c r="AD35" s="102"/>
      <c r="AF35" s="144" t="s">
        <v>91</v>
      </c>
      <c r="AG35" s="102"/>
      <c r="AH35" s="102"/>
      <c r="AI35" s="102"/>
      <c r="AJ35" s="102"/>
      <c r="AK35" s="102"/>
    </row>
    <row r="36" spans="1:37" ht="15" customHeight="1" x14ac:dyDescent="0.3">
      <c r="A36" s="110" t="s">
        <v>66</v>
      </c>
      <c r="B36" s="111" t="s">
        <v>1</v>
      </c>
      <c r="C36" s="111" t="s">
        <v>1</v>
      </c>
      <c r="D36" s="111" t="s">
        <v>1</v>
      </c>
      <c r="E36" s="111" t="s">
        <v>1</v>
      </c>
      <c r="F36" s="140" t="str">
        <f t="shared" si="2"/>
        <v xml:space="preserve"> </v>
      </c>
      <c r="G36" s="140" t="str">
        <f t="shared" si="3"/>
        <v xml:space="preserve"> </v>
      </c>
      <c r="H36" s="111" t="s">
        <v>1</v>
      </c>
      <c r="I36" s="111"/>
      <c r="J36" s="111" t="s">
        <v>1</v>
      </c>
      <c r="K36" s="111" t="s">
        <v>1</v>
      </c>
      <c r="L36" s="111"/>
      <c r="M36" s="111"/>
      <c r="N36" s="111"/>
      <c r="O36" s="111"/>
      <c r="P36" s="111"/>
      <c r="Q36" s="111"/>
      <c r="R36" s="111"/>
      <c r="S36" s="111"/>
      <c r="T36" s="112">
        <f t="shared" si="6"/>
        <v>0</v>
      </c>
      <c r="U36" s="113" t="str">
        <f t="shared" si="0"/>
        <v xml:space="preserve"> </v>
      </c>
      <c r="V36" s="111"/>
      <c r="W36" s="111"/>
      <c r="X36" s="111"/>
      <c r="Y36" s="111"/>
      <c r="Z36" s="102"/>
      <c r="AA36" s="102"/>
      <c r="AB36" s="102"/>
      <c r="AC36" s="102"/>
      <c r="AD36" s="102"/>
      <c r="AF36" s="145" t="s">
        <v>92</v>
      </c>
      <c r="AG36" s="102"/>
      <c r="AH36" s="102"/>
      <c r="AI36" s="102"/>
      <c r="AJ36" s="102"/>
      <c r="AK36" s="102"/>
    </row>
    <row r="37" spans="1:37" ht="15" customHeight="1" x14ac:dyDescent="0.3">
      <c r="A37" s="116" t="s">
        <v>67</v>
      </c>
      <c r="B37" s="116" t="str">
        <f>IF(B36=" "," ",B36)</f>
        <v xml:space="preserve"> </v>
      </c>
      <c r="C37" s="116" t="str">
        <f t="shared" ref="C37" si="59">C36</f>
        <v xml:space="preserve"> </v>
      </c>
      <c r="D37" s="116" t="str">
        <f t="shared" ref="D37:E37" si="60">IF(D36=" "," ",D36)</f>
        <v xml:space="preserve"> </v>
      </c>
      <c r="E37" s="116" t="str">
        <f t="shared" si="60"/>
        <v xml:space="preserve"> </v>
      </c>
      <c r="F37" s="140" t="str">
        <f t="shared" si="2"/>
        <v xml:space="preserve"> </v>
      </c>
      <c r="G37" s="140" t="str">
        <f t="shared" si="3"/>
        <v xml:space="preserve"> </v>
      </c>
      <c r="H37" s="116" t="str">
        <f>IF(H36=" "," ",H36)</f>
        <v xml:space="preserve"> </v>
      </c>
      <c r="I37" s="117"/>
      <c r="J37" s="116" t="str">
        <f t="shared" ref="J37" si="61">IF(J36=" "," ",J36)</f>
        <v xml:space="preserve"> </v>
      </c>
      <c r="K37" s="116" t="str">
        <f t="shared" ref="K37" si="62">IF(K36=" "," ",K36)</f>
        <v xml:space="preserve"> </v>
      </c>
      <c r="L37" s="117"/>
      <c r="M37" s="117"/>
      <c r="N37" s="117"/>
      <c r="O37" s="117"/>
      <c r="P37" s="117"/>
      <c r="Q37" s="117"/>
      <c r="R37" s="117"/>
      <c r="S37" s="117"/>
      <c r="T37" s="112">
        <f t="shared" si="6"/>
        <v>0</v>
      </c>
      <c r="U37" s="113" t="str">
        <f t="shared" si="0"/>
        <v xml:space="preserve"> </v>
      </c>
      <c r="V37" s="118"/>
      <c r="W37" s="118"/>
      <c r="X37" s="118"/>
      <c r="Y37" s="118"/>
      <c r="Z37" s="102"/>
      <c r="AA37" s="102"/>
      <c r="AB37" s="102"/>
      <c r="AC37" s="102"/>
      <c r="AD37" s="102"/>
      <c r="AF37" s="144" t="s">
        <v>93</v>
      </c>
      <c r="AG37" s="102"/>
      <c r="AH37" s="102"/>
      <c r="AI37" s="102"/>
      <c r="AJ37" s="102"/>
      <c r="AK37" s="102"/>
    </row>
    <row r="38" spans="1:37" ht="15" customHeight="1" x14ac:dyDescent="0.3">
      <c r="A38" s="110" t="s">
        <v>66</v>
      </c>
      <c r="B38" s="111" t="s">
        <v>1</v>
      </c>
      <c r="C38" s="111" t="s">
        <v>1</v>
      </c>
      <c r="D38" s="111" t="s">
        <v>1</v>
      </c>
      <c r="E38" s="111" t="s">
        <v>1</v>
      </c>
      <c r="F38" s="140" t="str">
        <f t="shared" si="2"/>
        <v xml:space="preserve"> </v>
      </c>
      <c r="G38" s="140" t="str">
        <f t="shared" si="3"/>
        <v xml:space="preserve"> </v>
      </c>
      <c r="H38" s="111" t="s">
        <v>1</v>
      </c>
      <c r="I38" s="111"/>
      <c r="J38" s="111" t="s">
        <v>1</v>
      </c>
      <c r="K38" s="111" t="s">
        <v>1</v>
      </c>
      <c r="L38" s="111"/>
      <c r="M38" s="111"/>
      <c r="N38" s="111"/>
      <c r="O38" s="111"/>
      <c r="P38" s="111"/>
      <c r="Q38" s="111"/>
      <c r="R38" s="111"/>
      <c r="S38" s="111"/>
      <c r="T38" s="112">
        <f t="shared" si="6"/>
        <v>0</v>
      </c>
      <c r="U38" s="113" t="str">
        <f t="shared" si="0"/>
        <v xml:space="preserve"> </v>
      </c>
      <c r="V38" s="111"/>
      <c r="W38" s="111"/>
      <c r="X38" s="111"/>
      <c r="Y38" s="111"/>
      <c r="Z38" s="102"/>
      <c r="AA38" s="102"/>
      <c r="AB38" s="102"/>
      <c r="AC38" s="102"/>
      <c r="AD38" s="102"/>
      <c r="AF38" s="145" t="s">
        <v>94</v>
      </c>
      <c r="AG38" s="102"/>
      <c r="AH38" s="102"/>
      <c r="AI38" s="102"/>
      <c r="AJ38" s="102"/>
      <c r="AK38" s="102"/>
    </row>
    <row r="39" spans="1:37" ht="13.05" x14ac:dyDescent="0.3">
      <c r="A39" s="116" t="s">
        <v>67</v>
      </c>
      <c r="B39" s="116" t="str">
        <f>IF(B38=" "," ",B38)</f>
        <v xml:space="preserve"> </v>
      </c>
      <c r="C39" s="116" t="str">
        <f t="shared" ref="C39" si="63">C38</f>
        <v xml:space="preserve"> </v>
      </c>
      <c r="D39" s="116" t="str">
        <f t="shared" ref="D39:E39" si="64">IF(D38=" "," ",D38)</f>
        <v xml:space="preserve"> </v>
      </c>
      <c r="E39" s="116" t="str">
        <f t="shared" si="64"/>
        <v xml:space="preserve"> </v>
      </c>
      <c r="F39" s="140" t="str">
        <f t="shared" si="2"/>
        <v xml:space="preserve"> </v>
      </c>
      <c r="G39" s="140" t="str">
        <f t="shared" si="3"/>
        <v xml:space="preserve"> </v>
      </c>
      <c r="H39" s="116" t="str">
        <f>IF(H38=" "," ",H38)</f>
        <v xml:space="preserve"> </v>
      </c>
      <c r="I39" s="117"/>
      <c r="J39" s="116" t="str">
        <f t="shared" ref="J39" si="65">IF(J38=" "," ",J38)</f>
        <v xml:space="preserve"> </v>
      </c>
      <c r="K39" s="116" t="str">
        <f t="shared" ref="K39" si="66">IF(K38=" "," ",K38)</f>
        <v xml:space="preserve"> </v>
      </c>
      <c r="L39" s="117"/>
      <c r="M39" s="117"/>
      <c r="N39" s="117"/>
      <c r="O39" s="117"/>
      <c r="P39" s="117"/>
      <c r="Q39" s="117"/>
      <c r="R39" s="117"/>
      <c r="S39" s="117"/>
      <c r="T39" s="112">
        <f t="shared" si="6"/>
        <v>0</v>
      </c>
      <c r="U39" s="113" t="str">
        <f t="shared" si="0"/>
        <v xml:space="preserve"> </v>
      </c>
      <c r="V39" s="118"/>
      <c r="W39" s="118"/>
      <c r="X39" s="118"/>
      <c r="Y39" s="118"/>
      <c r="Z39" s="102"/>
      <c r="AA39" s="102"/>
      <c r="AB39" s="102"/>
      <c r="AC39" s="102"/>
      <c r="AD39" s="102"/>
      <c r="AF39" s="144" t="s">
        <v>95</v>
      </c>
      <c r="AG39" s="102"/>
      <c r="AH39" s="102"/>
      <c r="AI39" s="102"/>
      <c r="AJ39" s="102"/>
      <c r="AK39" s="102"/>
    </row>
    <row r="40" spans="1:37" ht="13.05" x14ac:dyDescent="0.3">
      <c r="A40" s="110" t="s">
        <v>66</v>
      </c>
      <c r="B40" s="111" t="s">
        <v>1</v>
      </c>
      <c r="C40" s="111" t="s">
        <v>1</v>
      </c>
      <c r="D40" s="111" t="s">
        <v>1</v>
      </c>
      <c r="E40" s="111" t="s">
        <v>1</v>
      </c>
      <c r="F40" s="140" t="str">
        <f t="shared" si="2"/>
        <v xml:space="preserve"> </v>
      </c>
      <c r="G40" s="140" t="str">
        <f t="shared" si="3"/>
        <v xml:space="preserve"> </v>
      </c>
      <c r="H40" s="111" t="s">
        <v>1</v>
      </c>
      <c r="I40" s="111"/>
      <c r="J40" s="111" t="s">
        <v>1</v>
      </c>
      <c r="K40" s="111" t="s">
        <v>1</v>
      </c>
      <c r="L40" s="111"/>
      <c r="M40" s="111"/>
      <c r="N40" s="111"/>
      <c r="O40" s="111"/>
      <c r="P40" s="111"/>
      <c r="Q40" s="111"/>
      <c r="R40" s="111"/>
      <c r="S40" s="111"/>
      <c r="T40" s="112">
        <f t="shared" si="6"/>
        <v>0</v>
      </c>
      <c r="U40" s="113" t="str">
        <f t="shared" si="0"/>
        <v xml:space="preserve"> </v>
      </c>
      <c r="V40" s="111"/>
      <c r="W40" s="111"/>
      <c r="X40" s="111"/>
      <c r="Y40" s="111"/>
      <c r="Z40" s="102"/>
      <c r="AA40" s="102"/>
      <c r="AB40" s="102"/>
      <c r="AC40" s="102"/>
      <c r="AD40" s="102"/>
      <c r="AF40" s="145" t="s">
        <v>96</v>
      </c>
      <c r="AG40" s="102"/>
      <c r="AH40" s="102"/>
      <c r="AI40" s="102"/>
      <c r="AJ40" s="102"/>
      <c r="AK40" s="102"/>
    </row>
    <row r="41" spans="1:37" ht="13.05" x14ac:dyDescent="0.3">
      <c r="A41" s="116" t="s">
        <v>67</v>
      </c>
      <c r="B41" s="116" t="str">
        <f>IF(B40=" "," ",B40)</f>
        <v xml:space="preserve"> </v>
      </c>
      <c r="C41" s="116" t="str">
        <f t="shared" ref="C41" si="67">C40</f>
        <v xml:space="preserve"> </v>
      </c>
      <c r="D41" s="116" t="str">
        <f t="shared" ref="D41:E41" si="68">IF(D40=" "," ",D40)</f>
        <v xml:space="preserve"> </v>
      </c>
      <c r="E41" s="116" t="str">
        <f t="shared" si="68"/>
        <v xml:space="preserve"> </v>
      </c>
      <c r="F41" s="140" t="str">
        <f t="shared" si="2"/>
        <v xml:space="preserve"> </v>
      </c>
      <c r="G41" s="140" t="str">
        <f t="shared" si="3"/>
        <v xml:space="preserve"> </v>
      </c>
      <c r="H41" s="116" t="str">
        <f>IF(H40=" "," ",H40)</f>
        <v xml:space="preserve"> </v>
      </c>
      <c r="I41" s="117"/>
      <c r="J41" s="116" t="str">
        <f t="shared" ref="J41" si="69">IF(J40=" "," ",J40)</f>
        <v xml:space="preserve"> </v>
      </c>
      <c r="K41" s="116" t="str">
        <f t="shared" ref="K41" si="70">IF(K40=" "," ",K40)</f>
        <v xml:space="preserve"> </v>
      </c>
      <c r="L41" s="117"/>
      <c r="M41" s="117"/>
      <c r="N41" s="117"/>
      <c r="O41" s="117"/>
      <c r="P41" s="117"/>
      <c r="Q41" s="117"/>
      <c r="R41" s="117"/>
      <c r="S41" s="117"/>
      <c r="T41" s="112">
        <f t="shared" si="6"/>
        <v>0</v>
      </c>
      <c r="U41" s="113" t="str">
        <f t="shared" si="0"/>
        <v xml:space="preserve"> </v>
      </c>
      <c r="V41" s="118"/>
      <c r="W41" s="118"/>
      <c r="X41" s="118"/>
      <c r="Y41" s="118"/>
      <c r="Z41" s="102"/>
      <c r="AA41" s="102"/>
      <c r="AB41" s="102"/>
      <c r="AC41" s="102"/>
      <c r="AD41" s="102"/>
      <c r="AF41" s="144" t="s">
        <v>97</v>
      </c>
      <c r="AG41" s="102"/>
      <c r="AH41" s="102"/>
      <c r="AI41" s="102"/>
      <c r="AJ41" s="102"/>
      <c r="AK41" s="102"/>
    </row>
    <row r="42" spans="1:37" x14ac:dyDescent="0.3">
      <c r="A42" s="110" t="s">
        <v>66</v>
      </c>
      <c r="B42" s="111" t="s">
        <v>1</v>
      </c>
      <c r="C42" s="111" t="s">
        <v>1</v>
      </c>
      <c r="D42" s="111" t="s">
        <v>1</v>
      </c>
      <c r="E42" s="111" t="s">
        <v>1</v>
      </c>
      <c r="F42" s="140" t="str">
        <f t="shared" si="2"/>
        <v xml:space="preserve"> </v>
      </c>
      <c r="G42" s="140" t="str">
        <f t="shared" si="3"/>
        <v xml:space="preserve"> </v>
      </c>
      <c r="H42" s="111" t="s">
        <v>1</v>
      </c>
      <c r="I42" s="111"/>
      <c r="J42" s="111" t="s">
        <v>1</v>
      </c>
      <c r="K42" s="111" t="s">
        <v>1</v>
      </c>
      <c r="L42" s="111"/>
      <c r="M42" s="111"/>
      <c r="N42" s="111"/>
      <c r="O42" s="111"/>
      <c r="P42" s="111"/>
      <c r="Q42" s="111"/>
      <c r="R42" s="111"/>
      <c r="S42" s="111"/>
      <c r="T42" s="112">
        <f t="shared" si="6"/>
        <v>0</v>
      </c>
      <c r="U42" s="113" t="str">
        <f t="shared" si="0"/>
        <v xml:space="preserve"> </v>
      </c>
      <c r="V42" s="111"/>
      <c r="W42" s="111"/>
      <c r="X42" s="111"/>
      <c r="Y42" s="111"/>
      <c r="Z42" s="102"/>
      <c r="AA42" s="102"/>
      <c r="AB42" s="102"/>
      <c r="AC42" s="102"/>
      <c r="AD42" s="102"/>
      <c r="AF42" s="145" t="s">
        <v>98</v>
      </c>
      <c r="AG42" s="102"/>
      <c r="AH42" s="102"/>
      <c r="AI42" s="102"/>
      <c r="AJ42" s="102"/>
      <c r="AK42" s="102"/>
    </row>
    <row r="43" spans="1:37" x14ac:dyDescent="0.3">
      <c r="A43" s="116" t="s">
        <v>67</v>
      </c>
      <c r="B43" s="116" t="str">
        <f>IF(B42=" "," ",B42)</f>
        <v xml:space="preserve"> </v>
      </c>
      <c r="C43" s="116" t="str">
        <f t="shared" ref="C43" si="71">C42</f>
        <v xml:space="preserve"> </v>
      </c>
      <c r="D43" s="116" t="str">
        <f t="shared" ref="D43:E43" si="72">IF(D42=" "," ",D42)</f>
        <v xml:space="preserve"> </v>
      </c>
      <c r="E43" s="116" t="str">
        <f t="shared" si="72"/>
        <v xml:space="preserve"> </v>
      </c>
      <c r="F43" s="140" t="str">
        <f t="shared" si="2"/>
        <v xml:space="preserve"> </v>
      </c>
      <c r="G43" s="140" t="str">
        <f t="shared" si="3"/>
        <v xml:space="preserve"> </v>
      </c>
      <c r="H43" s="116" t="str">
        <f>IF(H42=" "," ",H42)</f>
        <v xml:space="preserve"> </v>
      </c>
      <c r="I43" s="117"/>
      <c r="J43" s="116" t="str">
        <f t="shared" ref="J43" si="73">IF(J42=" "," ",J42)</f>
        <v xml:space="preserve"> </v>
      </c>
      <c r="K43" s="116" t="str">
        <f t="shared" ref="K43" si="74">IF(K42=" "," ",K42)</f>
        <v xml:space="preserve"> </v>
      </c>
      <c r="L43" s="117"/>
      <c r="M43" s="117"/>
      <c r="N43" s="117"/>
      <c r="O43" s="117"/>
      <c r="P43" s="117"/>
      <c r="Q43" s="117"/>
      <c r="R43" s="117"/>
      <c r="S43" s="117"/>
      <c r="T43" s="112">
        <f t="shared" si="6"/>
        <v>0</v>
      </c>
      <c r="U43" s="113" t="str">
        <f t="shared" si="0"/>
        <v xml:space="preserve"> </v>
      </c>
      <c r="V43" s="118"/>
      <c r="W43" s="118"/>
      <c r="X43" s="118"/>
      <c r="Y43" s="118"/>
      <c r="AF43" s="144" t="s">
        <v>99</v>
      </c>
    </row>
    <row r="44" spans="1:37" x14ac:dyDescent="0.3">
      <c r="A44" s="110" t="s">
        <v>66</v>
      </c>
      <c r="B44" s="111" t="s">
        <v>1</v>
      </c>
      <c r="C44" s="111" t="s">
        <v>1</v>
      </c>
      <c r="D44" s="111" t="s">
        <v>1</v>
      </c>
      <c r="E44" s="111" t="s">
        <v>1</v>
      </c>
      <c r="F44" s="140" t="str">
        <f t="shared" si="2"/>
        <v xml:space="preserve"> </v>
      </c>
      <c r="G44" s="140" t="str">
        <f t="shared" si="3"/>
        <v xml:space="preserve"> </v>
      </c>
      <c r="H44" s="111" t="s">
        <v>1</v>
      </c>
      <c r="I44" s="111"/>
      <c r="J44" s="111" t="s">
        <v>1</v>
      </c>
      <c r="K44" s="111" t="s">
        <v>1</v>
      </c>
      <c r="L44" s="111"/>
      <c r="M44" s="111"/>
      <c r="N44" s="111"/>
      <c r="O44" s="111"/>
      <c r="P44" s="111"/>
      <c r="Q44" s="111"/>
      <c r="R44" s="111"/>
      <c r="S44" s="111"/>
      <c r="T44" s="112">
        <f t="shared" si="6"/>
        <v>0</v>
      </c>
      <c r="U44" s="113" t="str">
        <f t="shared" si="0"/>
        <v xml:space="preserve"> </v>
      </c>
      <c r="V44" s="111"/>
      <c r="W44" s="111"/>
      <c r="X44" s="111"/>
      <c r="Y44" s="111"/>
      <c r="AF44" s="144" t="s">
        <v>100</v>
      </c>
    </row>
    <row r="45" spans="1:37" x14ac:dyDescent="0.3">
      <c r="A45" s="116" t="s">
        <v>67</v>
      </c>
      <c r="B45" s="116" t="str">
        <f>IF(B44=" "," ",B44)</f>
        <v xml:space="preserve"> </v>
      </c>
      <c r="C45" s="116" t="str">
        <f t="shared" ref="C45" si="75">C44</f>
        <v xml:space="preserve"> </v>
      </c>
      <c r="D45" s="116" t="str">
        <f t="shared" ref="D45:E45" si="76">IF(D44=" "," ",D44)</f>
        <v xml:space="preserve"> </v>
      </c>
      <c r="E45" s="116" t="str">
        <f t="shared" si="76"/>
        <v xml:space="preserve"> </v>
      </c>
      <c r="F45" s="140" t="str">
        <f t="shared" si="2"/>
        <v xml:space="preserve"> </v>
      </c>
      <c r="G45" s="140" t="str">
        <f t="shared" si="3"/>
        <v xml:space="preserve"> </v>
      </c>
      <c r="H45" s="116" t="str">
        <f>IF(H44=" "," ",H44)</f>
        <v xml:space="preserve"> </v>
      </c>
      <c r="I45" s="117"/>
      <c r="J45" s="116" t="str">
        <f t="shared" ref="J45" si="77">IF(J44=" "," ",J44)</f>
        <v xml:space="preserve"> </v>
      </c>
      <c r="K45" s="116" t="str">
        <f t="shared" ref="K45" si="78">IF(K44=" "," ",K44)</f>
        <v xml:space="preserve"> </v>
      </c>
      <c r="L45" s="117"/>
      <c r="M45" s="117"/>
      <c r="N45" s="117"/>
      <c r="O45" s="117"/>
      <c r="P45" s="117"/>
      <c r="Q45" s="117"/>
      <c r="R45" s="117"/>
      <c r="S45" s="117"/>
      <c r="T45" s="112">
        <f t="shared" si="6"/>
        <v>0</v>
      </c>
      <c r="U45" s="113" t="str">
        <f t="shared" si="0"/>
        <v xml:space="preserve"> </v>
      </c>
      <c r="V45" s="118"/>
      <c r="W45" s="118"/>
      <c r="X45" s="118"/>
      <c r="Y45" s="118"/>
      <c r="AF45" s="145" t="s">
        <v>101</v>
      </c>
    </row>
    <row r="46" spans="1:37" x14ac:dyDescent="0.3">
      <c r="A46" s="110" t="s">
        <v>66</v>
      </c>
      <c r="B46" s="111" t="s">
        <v>1</v>
      </c>
      <c r="C46" s="111" t="s">
        <v>1</v>
      </c>
      <c r="D46" s="111" t="s">
        <v>1</v>
      </c>
      <c r="E46" s="111" t="s">
        <v>1</v>
      </c>
      <c r="F46" s="140" t="str">
        <f t="shared" si="2"/>
        <v xml:space="preserve"> </v>
      </c>
      <c r="G46" s="140" t="str">
        <f t="shared" si="3"/>
        <v xml:space="preserve"> </v>
      </c>
      <c r="H46" s="111" t="s">
        <v>1</v>
      </c>
      <c r="I46" s="111"/>
      <c r="J46" s="111" t="s">
        <v>1</v>
      </c>
      <c r="K46" s="111" t="s">
        <v>1</v>
      </c>
      <c r="L46" s="111"/>
      <c r="M46" s="111"/>
      <c r="N46" s="111"/>
      <c r="O46" s="111"/>
      <c r="P46" s="111"/>
      <c r="Q46" s="111"/>
      <c r="R46" s="111"/>
      <c r="S46" s="111"/>
      <c r="T46" s="112">
        <f t="shared" si="6"/>
        <v>0</v>
      </c>
      <c r="U46" s="113" t="str">
        <f t="shared" si="0"/>
        <v xml:space="preserve"> </v>
      </c>
      <c r="V46" s="111"/>
      <c r="W46" s="111"/>
      <c r="X46" s="111"/>
      <c r="Y46" s="111"/>
      <c r="AF46" s="144" t="s">
        <v>102</v>
      </c>
    </row>
    <row r="47" spans="1:37" x14ac:dyDescent="0.3">
      <c r="A47" s="116" t="s">
        <v>67</v>
      </c>
      <c r="B47" s="116" t="str">
        <f>IF(B46=" "," ",B46)</f>
        <v xml:space="preserve"> </v>
      </c>
      <c r="C47" s="116" t="str">
        <f t="shared" ref="C47" si="79">C46</f>
        <v xml:space="preserve"> </v>
      </c>
      <c r="D47" s="116" t="str">
        <f t="shared" ref="D47:E47" si="80">IF(D46=" "," ",D46)</f>
        <v xml:space="preserve"> </v>
      </c>
      <c r="E47" s="116" t="str">
        <f t="shared" si="80"/>
        <v xml:space="preserve"> </v>
      </c>
      <c r="F47" s="140" t="str">
        <f t="shared" ref="F47:F51" si="81">IF(C47=" "," ",IF((E47*0.75)&lt;2.5,12,IF((E47*0.75)&gt;7.5,1,6)))</f>
        <v xml:space="preserve"> </v>
      </c>
      <c r="G47" s="140" t="str">
        <f t="shared" ref="G47:G51" si="82">IF(C47=" "," ",IF($K$5&lt;E47,1,IF($K$5=E47,1,IF($K$5&lt;=E47+2,6,IF($K$5&lt;=E47+3,9,IF($K$5&gt;E47+3,12))))))</f>
        <v xml:space="preserve"> </v>
      </c>
      <c r="H47" s="116" t="str">
        <f>IF(H46=" "," ",H46)</f>
        <v xml:space="preserve"> </v>
      </c>
      <c r="I47" s="117"/>
      <c r="J47" s="116" t="str">
        <f t="shared" ref="J47" si="83">IF(J46=" "," ",J46)</f>
        <v xml:space="preserve"> </v>
      </c>
      <c r="K47" s="116" t="str">
        <f t="shared" ref="K47" si="84">IF(K46=" "," ",K46)</f>
        <v xml:space="preserve"> </v>
      </c>
      <c r="L47" s="117"/>
      <c r="M47" s="117"/>
      <c r="N47" s="117"/>
      <c r="O47" s="117"/>
      <c r="P47" s="117"/>
      <c r="Q47" s="117"/>
      <c r="R47" s="117"/>
      <c r="S47" s="117"/>
      <c r="T47" s="112">
        <f t="shared" si="6"/>
        <v>0</v>
      </c>
      <c r="U47" s="113" t="str">
        <f t="shared" si="0"/>
        <v xml:space="preserve"> </v>
      </c>
      <c r="V47" s="118"/>
      <c r="W47" s="118"/>
      <c r="X47" s="118"/>
      <c r="Y47" s="118"/>
      <c r="AF47" s="145" t="s">
        <v>100</v>
      </c>
    </row>
    <row r="48" spans="1:37" x14ac:dyDescent="0.3">
      <c r="A48" s="110" t="s">
        <v>66</v>
      </c>
      <c r="B48" s="111" t="s">
        <v>1</v>
      </c>
      <c r="C48" s="111" t="s">
        <v>1</v>
      </c>
      <c r="D48" s="111" t="s">
        <v>1</v>
      </c>
      <c r="E48" s="111" t="s">
        <v>1</v>
      </c>
      <c r="F48" s="140" t="str">
        <f t="shared" si="81"/>
        <v xml:space="preserve"> </v>
      </c>
      <c r="G48" s="140" t="str">
        <f t="shared" si="82"/>
        <v xml:space="preserve"> </v>
      </c>
      <c r="H48" s="111" t="s">
        <v>1</v>
      </c>
      <c r="I48" s="111"/>
      <c r="J48" s="111" t="s">
        <v>1</v>
      </c>
      <c r="K48" s="111" t="s">
        <v>1</v>
      </c>
      <c r="L48" s="111"/>
      <c r="M48" s="111"/>
      <c r="N48" s="111"/>
      <c r="O48" s="111"/>
      <c r="P48" s="111"/>
      <c r="Q48" s="111"/>
      <c r="R48" s="111"/>
      <c r="S48" s="111"/>
      <c r="T48" s="112">
        <f t="shared" si="6"/>
        <v>0</v>
      </c>
      <c r="U48" s="113" t="str">
        <f t="shared" si="0"/>
        <v xml:space="preserve"> </v>
      </c>
      <c r="V48" s="111"/>
      <c r="W48" s="111"/>
      <c r="X48" s="111"/>
      <c r="Y48" s="111"/>
      <c r="AF48" s="144" t="s">
        <v>101</v>
      </c>
    </row>
    <row r="49" spans="1:25" x14ac:dyDescent="0.3">
      <c r="A49" s="116" t="s">
        <v>67</v>
      </c>
      <c r="B49" s="116" t="str">
        <f>IF(B48=" "," ",B48)</f>
        <v xml:space="preserve"> </v>
      </c>
      <c r="C49" s="116" t="str">
        <f t="shared" ref="C49" si="85">C48</f>
        <v xml:space="preserve"> </v>
      </c>
      <c r="D49" s="116" t="str">
        <f t="shared" ref="D49:E49" si="86">IF(D48=" "," ",D48)</f>
        <v xml:space="preserve"> </v>
      </c>
      <c r="E49" s="116" t="str">
        <f t="shared" si="86"/>
        <v xml:space="preserve"> </v>
      </c>
      <c r="F49" s="140" t="str">
        <f t="shared" si="81"/>
        <v xml:space="preserve"> </v>
      </c>
      <c r="G49" s="140" t="str">
        <f t="shared" si="82"/>
        <v xml:space="preserve"> </v>
      </c>
      <c r="H49" s="116" t="str">
        <f>IF(H48=" "," ",H48)</f>
        <v xml:space="preserve"> </v>
      </c>
      <c r="I49" s="117"/>
      <c r="J49" s="116" t="str">
        <f t="shared" ref="J49" si="87">IF(J48=" "," ",J48)</f>
        <v xml:space="preserve"> </v>
      </c>
      <c r="K49" s="116" t="str">
        <f t="shared" ref="K49" si="88">IF(K48=" "," ",K48)</f>
        <v xml:space="preserve"> </v>
      </c>
      <c r="L49" s="117"/>
      <c r="M49" s="117"/>
      <c r="N49" s="117"/>
      <c r="O49" s="117"/>
      <c r="P49" s="117"/>
      <c r="Q49" s="117"/>
      <c r="R49" s="117"/>
      <c r="S49" s="117"/>
      <c r="T49" s="112">
        <f t="shared" si="6"/>
        <v>0</v>
      </c>
      <c r="U49" s="113" t="str">
        <f t="shared" si="0"/>
        <v xml:space="preserve"> </v>
      </c>
      <c r="V49" s="118"/>
      <c r="W49" s="118"/>
      <c r="X49" s="118"/>
      <c r="Y49" s="118"/>
    </row>
    <row r="50" spans="1:25" x14ac:dyDescent="0.3">
      <c r="A50" s="110" t="s">
        <v>66</v>
      </c>
      <c r="B50" s="111" t="s">
        <v>1</v>
      </c>
      <c r="C50" s="111" t="s">
        <v>1</v>
      </c>
      <c r="D50" s="111" t="s">
        <v>1</v>
      </c>
      <c r="E50" s="111" t="s">
        <v>1</v>
      </c>
      <c r="F50" s="140" t="str">
        <f t="shared" si="81"/>
        <v xml:space="preserve"> </v>
      </c>
      <c r="G50" s="140" t="str">
        <f t="shared" si="82"/>
        <v xml:space="preserve"> </v>
      </c>
      <c r="H50" s="111" t="s">
        <v>1</v>
      </c>
      <c r="I50" s="111"/>
      <c r="J50" s="111" t="s">
        <v>1</v>
      </c>
      <c r="K50" s="111" t="s">
        <v>1</v>
      </c>
      <c r="L50" s="111"/>
      <c r="M50" s="111"/>
      <c r="N50" s="111"/>
      <c r="O50" s="111"/>
      <c r="P50" s="111"/>
      <c r="Q50" s="111"/>
      <c r="R50" s="111"/>
      <c r="S50" s="111"/>
      <c r="T50" s="112">
        <f t="shared" si="6"/>
        <v>0</v>
      </c>
      <c r="U50" s="113" t="str">
        <f t="shared" si="0"/>
        <v xml:space="preserve"> </v>
      </c>
      <c r="V50" s="111"/>
      <c r="W50" s="111"/>
      <c r="X50" s="111"/>
      <c r="Y50" s="111"/>
    </row>
    <row r="51" spans="1:25" x14ac:dyDescent="0.3">
      <c r="A51" s="116" t="s">
        <v>67</v>
      </c>
      <c r="B51" s="116" t="str">
        <f>IF(B50=" "," ",B50)</f>
        <v xml:space="preserve"> </v>
      </c>
      <c r="C51" s="116" t="str">
        <f t="shared" ref="C51" si="89">C50</f>
        <v xml:space="preserve"> </v>
      </c>
      <c r="D51" s="116" t="str">
        <f t="shared" ref="D51:E51" si="90">IF(D50=" "," ",D50)</f>
        <v xml:space="preserve"> </v>
      </c>
      <c r="E51" s="116" t="str">
        <f t="shared" si="90"/>
        <v xml:space="preserve"> </v>
      </c>
      <c r="F51" s="141" t="str">
        <f t="shared" si="81"/>
        <v xml:space="preserve"> </v>
      </c>
      <c r="G51" s="141" t="str">
        <f t="shared" si="82"/>
        <v xml:space="preserve"> </v>
      </c>
      <c r="H51" s="116" t="str">
        <f>IF(H50=" "," ",H50)</f>
        <v xml:space="preserve"> </v>
      </c>
      <c r="I51" s="117"/>
      <c r="J51" s="116" t="str">
        <f t="shared" ref="J51" si="91">IF(J50=" "," ",J50)</f>
        <v xml:space="preserve"> </v>
      </c>
      <c r="K51" s="116" t="str">
        <f t="shared" ref="K51" si="92">IF(K50=" "," ",K50)</f>
        <v xml:space="preserve"> </v>
      </c>
      <c r="L51" s="117"/>
      <c r="M51" s="117"/>
      <c r="N51" s="117"/>
      <c r="O51" s="117"/>
      <c r="P51" s="117"/>
      <c r="Q51" s="117"/>
      <c r="R51" s="117"/>
      <c r="S51" s="117"/>
      <c r="T51" s="138">
        <f t="shared" si="6"/>
        <v>0</v>
      </c>
      <c r="U51" s="139" t="str">
        <f t="shared" si="0"/>
        <v xml:space="preserve"> </v>
      </c>
      <c r="V51" s="118"/>
      <c r="W51" s="118"/>
      <c r="X51" s="118"/>
      <c r="Y51" s="118"/>
    </row>
  </sheetData>
  <sheetProtection password="E191" sheet="1" objects="1" scenarios="1" selectLockedCells="1"/>
  <mergeCells count="14">
    <mergeCell ref="B1:Y1"/>
    <mergeCell ref="C3:I3"/>
    <mergeCell ref="C4:I4"/>
    <mergeCell ref="M3:P3"/>
    <mergeCell ref="M4:P4"/>
    <mergeCell ref="Q3:U3"/>
    <mergeCell ref="Q4:U4"/>
    <mergeCell ref="V7:Y7"/>
    <mergeCell ref="B6:Z6"/>
    <mergeCell ref="X3:Z3"/>
    <mergeCell ref="X4:Z4"/>
    <mergeCell ref="X5:Z5"/>
    <mergeCell ref="Q5:U5"/>
    <mergeCell ref="M5:P5"/>
  </mergeCells>
  <dataValidations count="6">
    <dataValidation type="whole" allowBlank="1" showInputMessage="1" showErrorMessage="1" sqref="I9 I35 I19 I17 I13 I21 I15 I23 I11 I25 I33 I29 I31 I27 I47 I37 I45 I41 I43 I39 I49 I51">
      <formula1>2</formula1>
      <formula2>101</formula2>
    </dataValidation>
    <dataValidation type="whole" allowBlank="1" showInputMessage="1" showErrorMessage="1" sqref="R8:S51 L8:N51 O9:O51">
      <formula1>2</formula1>
      <formula2>12</formula2>
    </dataValidation>
    <dataValidation type="whole" allowBlank="1" showInputMessage="1" showErrorMessage="1" sqref="G8:G51">
      <formula1>4</formula1>
      <formula2>12</formula2>
    </dataValidation>
    <dataValidation type="list" allowBlank="1" showInputMessage="1" showErrorMessage="1" sqref="V8:Y51">
      <formula1>$Z$9:$Z$21</formula1>
    </dataValidation>
    <dataValidation type="list" allowBlank="1" showInputMessage="1" showErrorMessage="1" sqref="Q3:U3">
      <formula1>$AF$8:$AF$48</formula1>
    </dataValidation>
    <dataValidation type="whole" allowBlank="1" showInputMessage="1" showErrorMessage="1" sqref="O8">
      <formula1>0</formula1>
      <formula2>12</formula2>
    </dataValidation>
  </dataValidations>
  <hyperlinks>
    <hyperlink ref="E7" location="Pictures!A1" display="AWC (5ft):"/>
    <hyperlink ref="H7" location="Pictures!A30" display="% Slope"/>
    <hyperlink ref="K7" location="Pictures!B56" display="Restrict. Lay."/>
    <hyperlink ref="L7" location="Pictures!A90" display="Irr. Type"/>
    <hyperlink ref="M7" location="Pictures!A120" display="Cover Type"/>
    <hyperlink ref="N7" location="Pictures!A165" display="Incorporation"/>
    <hyperlink ref="O7" location="Pictures!A244" display="Containment"/>
    <hyperlink ref="P7" location="Pictures!A215" display="RUSLE2 Erosion"/>
    <hyperlink ref="R7" location="Pictures!A240" display="Distance"/>
    <hyperlink ref="S7" location="Pictures!A282" display="Application Rate"/>
  </hyperlinks>
  <pageMargins left="0.25" right="0.25" top="0.75" bottom="0.75" header="0.3" footer="0.3"/>
  <pageSetup scale="8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workbookViewId="0">
      <selection activeCell="M25" sqref="M25"/>
    </sheetView>
  </sheetViews>
  <sheetFormatPr defaultRowHeight="14.4" x14ac:dyDescent="0.3"/>
  <cols>
    <col min="1" max="1" width="22.44140625" customWidth="1"/>
    <col min="2" max="8" width="8.21875" customWidth="1"/>
  </cols>
  <sheetData>
    <row r="1" spans="1:8" ht="15.45" x14ac:dyDescent="0.35">
      <c r="A1" s="171" t="s">
        <v>75</v>
      </c>
      <c r="B1" s="172"/>
      <c r="C1" s="172"/>
      <c r="D1" s="172"/>
      <c r="E1" s="172"/>
      <c r="F1" s="172"/>
      <c r="G1" s="172"/>
      <c r="H1" s="173"/>
    </row>
    <row r="2" spans="1:8" ht="15.45" x14ac:dyDescent="0.35">
      <c r="A2" s="174" t="s">
        <v>76</v>
      </c>
      <c r="B2" s="175"/>
      <c r="C2" s="175"/>
      <c r="D2" s="175"/>
      <c r="E2" s="175"/>
      <c r="F2" s="175"/>
      <c r="G2" s="175"/>
      <c r="H2" s="176"/>
    </row>
    <row r="3" spans="1:8" ht="15" thickBot="1" x14ac:dyDescent="0.4">
      <c r="A3" s="177"/>
      <c r="B3" s="178"/>
      <c r="C3" s="178"/>
      <c r="D3" s="178"/>
      <c r="E3" s="178"/>
      <c r="F3" s="178"/>
      <c r="G3" s="178"/>
      <c r="H3" s="179"/>
    </row>
    <row r="4" spans="1:8" ht="16.05" thickBot="1" x14ac:dyDescent="0.4">
      <c r="A4" s="4" t="s">
        <v>77</v>
      </c>
      <c r="B4" s="5" t="s">
        <v>78</v>
      </c>
      <c r="C4" s="5" t="s">
        <v>79</v>
      </c>
      <c r="D4" s="5" t="s">
        <v>80</v>
      </c>
      <c r="E4" s="5" t="s">
        <v>81</v>
      </c>
      <c r="F4" s="5" t="s">
        <v>82</v>
      </c>
      <c r="G4" s="5" t="s">
        <v>83</v>
      </c>
      <c r="H4" s="5" t="s">
        <v>84</v>
      </c>
    </row>
    <row r="5" spans="1:8" ht="14.55" x14ac:dyDescent="0.35">
      <c r="A5" s="6" t="s">
        <v>2</v>
      </c>
      <c r="B5" s="7">
        <v>0.7</v>
      </c>
      <c r="C5" s="7">
        <v>0.69</v>
      </c>
      <c r="D5" s="7">
        <f>0.78/2</f>
        <v>0.39</v>
      </c>
      <c r="E5" s="7">
        <f>0.94/2</f>
        <v>0.47</v>
      </c>
      <c r="F5" s="7">
        <v>0.59</v>
      </c>
      <c r="G5" s="7">
        <v>0.82</v>
      </c>
      <c r="H5" s="8">
        <f>ROUND(SUM(B5:G5),1)</f>
        <v>3.7</v>
      </c>
    </row>
    <row r="6" spans="1:8" ht="14.55" x14ac:dyDescent="0.35">
      <c r="A6" s="9" t="s">
        <v>6</v>
      </c>
      <c r="B6" s="10">
        <v>1.1499999999999999</v>
      </c>
      <c r="C6" s="10">
        <v>0.92</v>
      </c>
      <c r="D6" s="10">
        <f>1.09/2</f>
        <v>0.54500000000000004</v>
      </c>
      <c r="E6" s="10">
        <f>1.23/2</f>
        <v>0.61499999999999999</v>
      </c>
      <c r="F6" s="10">
        <v>1.08</v>
      </c>
      <c r="G6" s="10">
        <v>1.08</v>
      </c>
      <c r="H6" s="11">
        <f t="shared" ref="H6:H43" si="0">ROUND(SUM(B6:G6),1)</f>
        <v>5.4</v>
      </c>
    </row>
    <row r="7" spans="1:8" ht="14.55" x14ac:dyDescent="0.35">
      <c r="A7" s="1" t="s">
        <v>10</v>
      </c>
      <c r="B7" s="12">
        <v>0.81</v>
      </c>
      <c r="C7" s="12">
        <v>0.87</v>
      </c>
      <c r="D7" s="12">
        <f>1.01/2</f>
        <v>0.505</v>
      </c>
      <c r="E7" s="12">
        <f>0.82/2</f>
        <v>0.41</v>
      </c>
      <c r="F7" s="12">
        <v>0.87</v>
      </c>
      <c r="G7" s="12">
        <v>0.85</v>
      </c>
      <c r="H7" s="8">
        <f t="shared" si="0"/>
        <v>4.3</v>
      </c>
    </row>
    <row r="8" spans="1:8" ht="14.55" x14ac:dyDescent="0.35">
      <c r="A8" s="9" t="s">
        <v>11</v>
      </c>
      <c r="B8" s="10">
        <v>2.23</v>
      </c>
      <c r="C8" s="10">
        <v>1.54</v>
      </c>
      <c r="D8" s="10">
        <f>1.95/2</f>
        <v>0.97499999999999998</v>
      </c>
      <c r="E8" s="10">
        <f>1.54/2</f>
        <v>0.77</v>
      </c>
      <c r="F8" s="10">
        <v>2.12</v>
      </c>
      <c r="G8" s="10">
        <v>2.1</v>
      </c>
      <c r="H8" s="11">
        <f t="shared" si="0"/>
        <v>9.6999999999999993</v>
      </c>
    </row>
    <row r="9" spans="1:8" ht="14.55" x14ac:dyDescent="0.35">
      <c r="A9" s="1" t="s">
        <v>12</v>
      </c>
      <c r="B9" s="12">
        <v>0.56000000000000005</v>
      </c>
      <c r="C9" s="12">
        <v>0.48</v>
      </c>
      <c r="D9" s="12">
        <f>0.56/2</f>
        <v>0.28000000000000003</v>
      </c>
      <c r="E9" s="12">
        <f>0.74/2</f>
        <v>0.37</v>
      </c>
      <c r="F9" s="12">
        <v>0.48</v>
      </c>
      <c r="G9" s="12">
        <v>0.52</v>
      </c>
      <c r="H9" s="8">
        <f t="shared" si="0"/>
        <v>2.7</v>
      </c>
    </row>
    <row r="10" spans="1:8" ht="14.55" x14ac:dyDescent="0.35">
      <c r="A10" s="9" t="s">
        <v>14</v>
      </c>
      <c r="B10" s="10">
        <v>0.69</v>
      </c>
      <c r="C10" s="10">
        <v>0.89</v>
      </c>
      <c r="D10" s="10">
        <f>1.36/2</f>
        <v>0.68</v>
      </c>
      <c r="E10" s="10">
        <f>0.95/2</f>
        <v>0.47499999999999998</v>
      </c>
      <c r="F10" s="10">
        <v>1</v>
      </c>
      <c r="G10" s="10">
        <v>0.7</v>
      </c>
      <c r="H10" s="11">
        <f t="shared" si="0"/>
        <v>4.4000000000000004</v>
      </c>
    </row>
    <row r="11" spans="1:8" ht="14.55" x14ac:dyDescent="0.35">
      <c r="A11" s="1" t="s">
        <v>16</v>
      </c>
      <c r="B11" s="12">
        <v>0.5</v>
      </c>
      <c r="C11" s="12">
        <v>0.46</v>
      </c>
      <c r="D11" s="12">
        <f>0.72/2</f>
        <v>0.36</v>
      </c>
      <c r="E11" s="12">
        <f>0.69/2</f>
        <v>0.34499999999999997</v>
      </c>
      <c r="F11" s="12">
        <v>0.57999999999999996</v>
      </c>
      <c r="G11" s="12">
        <v>0.59</v>
      </c>
      <c r="H11" s="8">
        <f t="shared" si="0"/>
        <v>2.8</v>
      </c>
    </row>
    <row r="12" spans="1:8" ht="14.55" x14ac:dyDescent="0.35">
      <c r="A12" s="9" t="s">
        <v>18</v>
      </c>
      <c r="B12" s="10">
        <v>1.08</v>
      </c>
      <c r="C12" s="10">
        <v>1.1200000000000001</v>
      </c>
      <c r="D12" s="10">
        <f>1.54/2</f>
        <v>0.77</v>
      </c>
      <c r="E12" s="10">
        <f>1.51/2</f>
        <v>0.755</v>
      </c>
      <c r="F12" s="10">
        <v>1.59</v>
      </c>
      <c r="G12" s="10">
        <v>1.27</v>
      </c>
      <c r="H12" s="11">
        <f t="shared" si="0"/>
        <v>6.6</v>
      </c>
    </row>
    <row r="13" spans="1:8" ht="14.55" x14ac:dyDescent="0.35">
      <c r="A13" s="1" t="s">
        <v>19</v>
      </c>
      <c r="B13" s="12">
        <v>1.42</v>
      </c>
      <c r="C13" s="12">
        <v>1.56</v>
      </c>
      <c r="D13" s="12">
        <f>1.59/2</f>
        <v>0.79500000000000004</v>
      </c>
      <c r="E13" s="12">
        <f>1.64/2</f>
        <v>0.82</v>
      </c>
      <c r="F13" s="12">
        <v>1.59</v>
      </c>
      <c r="G13" s="12">
        <v>1.55</v>
      </c>
      <c r="H13" s="8">
        <f t="shared" si="0"/>
        <v>7.7</v>
      </c>
    </row>
    <row r="14" spans="1:8" ht="14.55" x14ac:dyDescent="0.35">
      <c r="A14" s="9" t="s">
        <v>20</v>
      </c>
      <c r="B14" s="10">
        <v>1.08</v>
      </c>
      <c r="C14" s="10">
        <v>1.46</v>
      </c>
      <c r="D14" s="10">
        <f>1.87/2</f>
        <v>0.93500000000000005</v>
      </c>
      <c r="E14" s="10">
        <f>1.85/2</f>
        <v>0.92500000000000004</v>
      </c>
      <c r="F14" s="10">
        <v>1.96</v>
      </c>
      <c r="G14" s="10">
        <v>1.37</v>
      </c>
      <c r="H14" s="11">
        <f t="shared" si="0"/>
        <v>7.7</v>
      </c>
    </row>
    <row r="15" spans="1:8" ht="14.55" x14ac:dyDescent="0.35">
      <c r="A15" s="1" t="s">
        <v>22</v>
      </c>
      <c r="B15" s="12">
        <v>0.49</v>
      </c>
      <c r="C15" s="12">
        <v>0.56000000000000005</v>
      </c>
      <c r="D15" s="12">
        <f>0.85/2</f>
        <v>0.42499999999999999</v>
      </c>
      <c r="E15" s="12">
        <f>0.81/2</f>
        <v>0.40500000000000003</v>
      </c>
      <c r="F15" s="12">
        <v>0.7</v>
      </c>
      <c r="G15" s="12">
        <v>0.62</v>
      </c>
      <c r="H15" s="8">
        <f t="shared" si="0"/>
        <v>3.2</v>
      </c>
    </row>
    <row r="16" spans="1:8" ht="14.55" x14ac:dyDescent="0.35">
      <c r="A16" s="9" t="s">
        <v>24</v>
      </c>
      <c r="B16" s="10">
        <v>0.43</v>
      </c>
      <c r="C16" s="10">
        <v>0.5</v>
      </c>
      <c r="D16" s="10">
        <f>0.64/2</f>
        <v>0.32</v>
      </c>
      <c r="E16" s="10">
        <f>0.94/2</f>
        <v>0.47</v>
      </c>
      <c r="F16" s="10">
        <v>0.52</v>
      </c>
      <c r="G16" s="10">
        <v>0.73</v>
      </c>
      <c r="H16" s="11">
        <f t="shared" si="0"/>
        <v>3</v>
      </c>
    </row>
    <row r="17" spans="1:8" ht="14.55" x14ac:dyDescent="0.35">
      <c r="A17" s="1" t="s">
        <v>26</v>
      </c>
      <c r="B17" s="12">
        <v>0.81</v>
      </c>
      <c r="C17" s="12">
        <v>0.86</v>
      </c>
      <c r="D17" s="12">
        <f>1.01/2</f>
        <v>0.505</v>
      </c>
      <c r="E17" s="12">
        <f>1.07/2</f>
        <v>0.53500000000000003</v>
      </c>
      <c r="F17" s="12">
        <v>0.92</v>
      </c>
      <c r="G17" s="12">
        <v>0.86</v>
      </c>
      <c r="H17" s="8">
        <f t="shared" si="0"/>
        <v>4.5</v>
      </c>
    </row>
    <row r="18" spans="1:8" ht="14.55" x14ac:dyDescent="0.35">
      <c r="A18" s="9" t="s">
        <v>28</v>
      </c>
      <c r="B18" s="10">
        <v>0.33</v>
      </c>
      <c r="C18" s="10">
        <v>0.34</v>
      </c>
      <c r="D18" s="10">
        <f>0.47/2</f>
        <v>0.23499999999999999</v>
      </c>
      <c r="E18" s="10">
        <f>0.88/2</f>
        <v>0.44</v>
      </c>
      <c r="F18" s="10">
        <v>0.37</v>
      </c>
      <c r="G18" s="10">
        <v>0.47</v>
      </c>
      <c r="H18" s="11">
        <f t="shared" si="0"/>
        <v>2.2000000000000002</v>
      </c>
    </row>
    <row r="19" spans="1:8" ht="14.55" x14ac:dyDescent="0.35">
      <c r="A19" s="1" t="s">
        <v>30</v>
      </c>
      <c r="B19" s="12">
        <v>0.82</v>
      </c>
      <c r="C19" s="12">
        <v>1.1399999999999999</v>
      </c>
      <c r="D19" s="12">
        <f>1.58/2</f>
        <v>0.79</v>
      </c>
      <c r="E19" s="12">
        <f>1.06/2</f>
        <v>0.53</v>
      </c>
      <c r="F19" s="12">
        <v>1.24</v>
      </c>
      <c r="G19" s="12">
        <v>0.92</v>
      </c>
      <c r="H19" s="8">
        <f t="shared" si="0"/>
        <v>5.4</v>
      </c>
    </row>
    <row r="20" spans="1:8" ht="14.55" x14ac:dyDescent="0.35">
      <c r="A20" s="9" t="s">
        <v>31</v>
      </c>
      <c r="B20" s="10">
        <v>0.62</v>
      </c>
      <c r="C20" s="10">
        <v>0.8</v>
      </c>
      <c r="D20" s="10">
        <f>1.29/2</f>
        <v>0.64500000000000002</v>
      </c>
      <c r="E20" s="10">
        <f>1.11/2</f>
        <v>0.55500000000000005</v>
      </c>
      <c r="F20" s="10">
        <v>0.97</v>
      </c>
      <c r="G20" s="10">
        <v>0.89</v>
      </c>
      <c r="H20" s="11">
        <f t="shared" si="0"/>
        <v>4.5</v>
      </c>
    </row>
    <row r="21" spans="1:8" ht="14.55" x14ac:dyDescent="0.35">
      <c r="A21" s="1" t="s">
        <v>33</v>
      </c>
      <c r="B21" s="12">
        <v>1.78</v>
      </c>
      <c r="C21" s="12">
        <v>1.56</v>
      </c>
      <c r="D21" s="12">
        <f>1.37/2</f>
        <v>0.68500000000000005</v>
      </c>
      <c r="E21" s="12">
        <f>1.45/2</f>
        <v>0.72499999999999998</v>
      </c>
      <c r="F21" s="12">
        <v>1.64</v>
      </c>
      <c r="G21" s="12">
        <v>1.62</v>
      </c>
      <c r="H21" s="8">
        <f t="shared" si="0"/>
        <v>8</v>
      </c>
    </row>
    <row r="22" spans="1:8" ht="14.55" x14ac:dyDescent="0.35">
      <c r="A22" s="9" t="s">
        <v>34</v>
      </c>
      <c r="B22" s="10">
        <v>1.92</v>
      </c>
      <c r="C22" s="10">
        <v>2.08</v>
      </c>
      <c r="D22" s="10">
        <f>2.2/2</f>
        <v>1.1000000000000001</v>
      </c>
      <c r="E22" s="10">
        <f>1.87/2</f>
        <v>0.93500000000000005</v>
      </c>
      <c r="F22" s="10">
        <v>2.4700000000000002</v>
      </c>
      <c r="G22" s="10">
        <v>1.92</v>
      </c>
      <c r="H22" s="11">
        <f t="shared" si="0"/>
        <v>10.4</v>
      </c>
    </row>
    <row r="23" spans="1:8" ht="14.55" x14ac:dyDescent="0.35">
      <c r="A23" s="1" t="s">
        <v>35</v>
      </c>
      <c r="B23" s="12">
        <v>0.46</v>
      </c>
      <c r="C23" s="12">
        <v>0.52</v>
      </c>
      <c r="D23" s="12">
        <f>0.61/2</f>
        <v>0.30499999999999999</v>
      </c>
      <c r="E23" s="12">
        <f>1.02/2</f>
        <v>0.51</v>
      </c>
      <c r="F23" s="12">
        <v>0.59</v>
      </c>
      <c r="G23" s="12">
        <v>0.63</v>
      </c>
      <c r="H23" s="8">
        <f t="shared" si="0"/>
        <v>3</v>
      </c>
    </row>
    <row r="24" spans="1:8" ht="14.55" x14ac:dyDescent="0.35">
      <c r="A24" s="9" t="s">
        <v>36</v>
      </c>
      <c r="B24" s="10">
        <v>1.45</v>
      </c>
      <c r="C24" s="10">
        <v>1.74</v>
      </c>
      <c r="D24" s="10">
        <f>1.61/2</f>
        <v>0.80500000000000005</v>
      </c>
      <c r="E24" s="10">
        <f>1.69/2</f>
        <v>0.84499999999999997</v>
      </c>
      <c r="F24" s="10">
        <v>1.61</v>
      </c>
      <c r="G24" s="10">
        <v>1.53</v>
      </c>
      <c r="H24" s="11">
        <f t="shared" si="0"/>
        <v>8</v>
      </c>
    </row>
    <row r="25" spans="1:8" ht="14.55" x14ac:dyDescent="0.35">
      <c r="A25" s="1" t="s">
        <v>85</v>
      </c>
      <c r="B25" s="12">
        <v>1.1200000000000001</v>
      </c>
      <c r="C25" s="12">
        <v>1.17</v>
      </c>
      <c r="D25" s="12">
        <f>1.94/2</f>
        <v>0.97</v>
      </c>
      <c r="E25" s="12">
        <f>1.29/2</f>
        <v>0.64500000000000002</v>
      </c>
      <c r="F25" s="12">
        <v>1.36</v>
      </c>
      <c r="G25" s="12">
        <v>1.36</v>
      </c>
      <c r="H25" s="8">
        <f t="shared" si="0"/>
        <v>6.6</v>
      </c>
    </row>
    <row r="26" spans="1:8" ht="14.55" x14ac:dyDescent="0.35">
      <c r="A26" s="9" t="s">
        <v>86</v>
      </c>
      <c r="B26" s="10">
        <v>0.66</v>
      </c>
      <c r="C26" s="10">
        <v>0.41</v>
      </c>
      <c r="D26" s="10">
        <f>0.58/2</f>
        <v>0.28999999999999998</v>
      </c>
      <c r="E26" s="10">
        <f>1.04/2</f>
        <v>0.52</v>
      </c>
      <c r="F26" s="10">
        <v>0.68</v>
      </c>
      <c r="G26" s="10">
        <v>0.66</v>
      </c>
      <c r="H26" s="11">
        <f t="shared" si="0"/>
        <v>3.2</v>
      </c>
    </row>
    <row r="27" spans="1:8" ht="14.55" x14ac:dyDescent="0.35">
      <c r="A27" s="1" t="s">
        <v>5</v>
      </c>
      <c r="B27" s="12">
        <v>1.43</v>
      </c>
      <c r="C27" s="12">
        <v>1.59</v>
      </c>
      <c r="D27" s="12">
        <f>1.77/2</f>
        <v>0.88500000000000001</v>
      </c>
      <c r="E27" s="12">
        <f>1.9/2</f>
        <v>0.95</v>
      </c>
      <c r="F27" s="12">
        <v>1.75</v>
      </c>
      <c r="G27" s="12">
        <v>1.51</v>
      </c>
      <c r="H27" s="8">
        <f t="shared" si="0"/>
        <v>8.1</v>
      </c>
    </row>
    <row r="28" spans="1:8" ht="14.55" x14ac:dyDescent="0.35">
      <c r="A28" s="9" t="s">
        <v>87</v>
      </c>
      <c r="B28" s="10">
        <v>1.58</v>
      </c>
      <c r="C28" s="10">
        <v>1.28</v>
      </c>
      <c r="D28" s="10">
        <v>0.82</v>
      </c>
      <c r="E28" s="10">
        <v>0.72</v>
      </c>
      <c r="F28" s="10">
        <v>1.45</v>
      </c>
      <c r="G28" s="10">
        <v>1.54</v>
      </c>
      <c r="H28" s="11">
        <f t="shared" si="0"/>
        <v>7.4</v>
      </c>
    </row>
    <row r="29" spans="1:8" ht="14.55" x14ac:dyDescent="0.35">
      <c r="A29" s="1" t="s">
        <v>88</v>
      </c>
      <c r="B29" s="12">
        <v>1.02</v>
      </c>
      <c r="C29" s="12">
        <v>1.27</v>
      </c>
      <c r="D29" s="12">
        <f>1.61/2</f>
        <v>0.80500000000000005</v>
      </c>
      <c r="E29" s="12">
        <f>1.64/2</f>
        <v>0.82</v>
      </c>
      <c r="F29" s="12">
        <v>1.46</v>
      </c>
      <c r="G29" s="12">
        <v>1.29</v>
      </c>
      <c r="H29" s="8">
        <f t="shared" si="0"/>
        <v>6.7</v>
      </c>
    </row>
    <row r="30" spans="1:8" ht="14.55" x14ac:dyDescent="0.35">
      <c r="A30" s="9" t="s">
        <v>89</v>
      </c>
      <c r="B30" s="10">
        <v>1.4</v>
      </c>
      <c r="C30" s="10">
        <v>1.65</v>
      </c>
      <c r="D30" s="10">
        <v>1.01</v>
      </c>
      <c r="E30" s="10">
        <v>0.94</v>
      </c>
      <c r="F30" s="10">
        <v>1.73</v>
      </c>
      <c r="G30" s="10">
        <v>1.72</v>
      </c>
      <c r="H30" s="11">
        <f t="shared" si="0"/>
        <v>8.5</v>
      </c>
    </row>
    <row r="31" spans="1:8" ht="14.55" x14ac:dyDescent="0.35">
      <c r="A31" s="1" t="s">
        <v>90</v>
      </c>
      <c r="B31" s="12">
        <v>0.67</v>
      </c>
      <c r="C31" s="12">
        <v>0.67</v>
      </c>
      <c r="D31" s="12">
        <f>1.04/2</f>
        <v>0.52</v>
      </c>
      <c r="E31" s="12">
        <f>0.79/2</f>
        <v>0.39500000000000002</v>
      </c>
      <c r="F31" s="12">
        <v>0.73</v>
      </c>
      <c r="G31" s="12">
        <v>0.72</v>
      </c>
      <c r="H31" s="8">
        <f t="shared" si="0"/>
        <v>3.7</v>
      </c>
    </row>
    <row r="32" spans="1:8" ht="14.55" x14ac:dyDescent="0.35">
      <c r="A32" s="9" t="s">
        <v>91</v>
      </c>
      <c r="B32" s="10">
        <v>0.78</v>
      </c>
      <c r="C32" s="10">
        <v>0.84</v>
      </c>
      <c r="D32" s="10">
        <f>1.48/2</f>
        <v>0.74</v>
      </c>
      <c r="E32" s="10">
        <f>0.99/2</f>
        <v>0.495</v>
      </c>
      <c r="F32" s="10">
        <v>0.88</v>
      </c>
      <c r="G32" s="10">
        <v>0.89</v>
      </c>
      <c r="H32" s="11">
        <f t="shared" si="0"/>
        <v>4.5999999999999996</v>
      </c>
    </row>
    <row r="33" spans="1:8" ht="14.55" x14ac:dyDescent="0.35">
      <c r="A33" s="1" t="s">
        <v>92</v>
      </c>
      <c r="B33" s="12">
        <v>1.84</v>
      </c>
      <c r="C33" s="12">
        <v>1.88</v>
      </c>
      <c r="D33" s="12">
        <f>1.85/2</f>
        <v>0.92500000000000004</v>
      </c>
      <c r="E33" s="12">
        <f>1.69/2</f>
        <v>0.84499999999999997</v>
      </c>
      <c r="F33" s="12">
        <v>1.98</v>
      </c>
      <c r="G33" s="12">
        <v>1.97</v>
      </c>
      <c r="H33" s="8">
        <f t="shared" si="0"/>
        <v>9.4</v>
      </c>
    </row>
    <row r="34" spans="1:8" ht="14.55" x14ac:dyDescent="0.35">
      <c r="A34" s="9" t="s">
        <v>93</v>
      </c>
      <c r="B34" s="10">
        <v>0.85</v>
      </c>
      <c r="C34" s="10">
        <v>0.82</v>
      </c>
      <c r="D34" s="10">
        <f>0.95/2</f>
        <v>0.47499999999999998</v>
      </c>
      <c r="E34" s="10">
        <f>0.91/2</f>
        <v>0.45500000000000002</v>
      </c>
      <c r="F34" s="10">
        <v>0.86</v>
      </c>
      <c r="G34" s="10">
        <v>0.93</v>
      </c>
      <c r="H34" s="11">
        <f t="shared" si="0"/>
        <v>4.4000000000000004</v>
      </c>
    </row>
    <row r="35" spans="1:8" x14ac:dyDescent="0.3">
      <c r="A35" s="1" t="s">
        <v>94</v>
      </c>
      <c r="B35" s="12">
        <v>1.31</v>
      </c>
      <c r="C35" s="12">
        <v>1.29</v>
      </c>
      <c r="D35" s="12">
        <f>1.65/2</f>
        <v>0.82499999999999996</v>
      </c>
      <c r="E35" s="12">
        <f>1.55/2</f>
        <v>0.77500000000000002</v>
      </c>
      <c r="F35" s="12">
        <v>1.59</v>
      </c>
      <c r="G35" s="12">
        <v>1.35</v>
      </c>
      <c r="H35" s="8">
        <f t="shared" si="0"/>
        <v>7.1</v>
      </c>
    </row>
    <row r="36" spans="1:8" x14ac:dyDescent="0.3">
      <c r="A36" s="9" t="s">
        <v>95</v>
      </c>
      <c r="B36" s="10">
        <v>0.28000000000000003</v>
      </c>
      <c r="C36" s="10">
        <v>0.56999999999999995</v>
      </c>
      <c r="D36" s="10">
        <f>0.65/2</f>
        <v>0.32500000000000001</v>
      </c>
      <c r="E36" s="10">
        <f>0.9/2</f>
        <v>0.45</v>
      </c>
      <c r="F36" s="10">
        <v>1.05</v>
      </c>
      <c r="G36" s="10">
        <v>0.48</v>
      </c>
      <c r="H36" s="11">
        <f t="shared" si="0"/>
        <v>3.2</v>
      </c>
    </row>
    <row r="37" spans="1:8" x14ac:dyDescent="0.3">
      <c r="A37" s="1" t="s">
        <v>96</v>
      </c>
      <c r="B37" s="12">
        <v>0.56000000000000005</v>
      </c>
      <c r="C37" s="12">
        <v>0.57999999999999996</v>
      </c>
      <c r="D37" s="12">
        <f>0.73/2</f>
        <v>0.36499999999999999</v>
      </c>
      <c r="E37" s="12">
        <f>0.84/2</f>
        <v>0.42</v>
      </c>
      <c r="F37" s="12">
        <v>0.67</v>
      </c>
      <c r="G37" s="12">
        <v>0.59</v>
      </c>
      <c r="H37" s="8">
        <f t="shared" si="0"/>
        <v>3.2</v>
      </c>
    </row>
    <row r="38" spans="1:8" x14ac:dyDescent="0.3">
      <c r="A38" s="9" t="s">
        <v>97</v>
      </c>
      <c r="B38" s="10">
        <v>1.46</v>
      </c>
      <c r="C38" s="10">
        <v>1.53</v>
      </c>
      <c r="D38" s="10">
        <f>1.97/2</f>
        <v>0.98499999999999999</v>
      </c>
      <c r="E38" s="10">
        <f>1.84/2</f>
        <v>0.92</v>
      </c>
      <c r="F38" s="10">
        <v>1.72</v>
      </c>
      <c r="G38" s="10">
        <v>1.68</v>
      </c>
      <c r="H38" s="11">
        <f t="shared" si="0"/>
        <v>8.3000000000000007</v>
      </c>
    </row>
    <row r="39" spans="1:8" x14ac:dyDescent="0.3">
      <c r="A39" s="1" t="s">
        <v>98</v>
      </c>
      <c r="B39" s="12">
        <v>1.51</v>
      </c>
      <c r="C39" s="12">
        <v>1.57</v>
      </c>
      <c r="D39" s="12">
        <f>2.16/2</f>
        <v>1.08</v>
      </c>
      <c r="E39" s="12">
        <f>1.86/2</f>
        <v>0.93</v>
      </c>
      <c r="F39" s="12">
        <v>1.69</v>
      </c>
      <c r="G39" s="12">
        <v>1.62</v>
      </c>
      <c r="H39" s="8">
        <f t="shared" si="0"/>
        <v>8.4</v>
      </c>
    </row>
    <row r="40" spans="1:8" x14ac:dyDescent="0.3">
      <c r="A40" s="9" t="s">
        <v>99</v>
      </c>
      <c r="B40" s="10">
        <v>0.81</v>
      </c>
      <c r="C40" s="10">
        <v>0.94</v>
      </c>
      <c r="D40" s="10">
        <f>1.38/2</f>
        <v>0.69</v>
      </c>
      <c r="E40" s="10">
        <f>0.77/2</f>
        <v>0.38500000000000001</v>
      </c>
      <c r="F40" s="10">
        <v>0.76</v>
      </c>
      <c r="G40" s="10">
        <v>1.47</v>
      </c>
      <c r="H40" s="11">
        <f t="shared" si="0"/>
        <v>5.0999999999999996</v>
      </c>
    </row>
    <row r="41" spans="1:8" x14ac:dyDescent="0.3">
      <c r="A41" s="1" t="s">
        <v>100</v>
      </c>
      <c r="B41" s="12">
        <v>1.7</v>
      </c>
      <c r="C41" s="12">
        <v>1.35</v>
      </c>
      <c r="D41" s="12">
        <f>1.3/2</f>
        <v>0.65</v>
      </c>
      <c r="E41" s="12">
        <f>0.78/2</f>
        <v>0.39</v>
      </c>
      <c r="F41" s="12">
        <v>1.22</v>
      </c>
      <c r="G41" s="12">
        <v>1.42</v>
      </c>
      <c r="H41" s="8">
        <f t="shared" si="0"/>
        <v>6.7</v>
      </c>
    </row>
    <row r="42" spans="1:8" x14ac:dyDescent="0.3">
      <c r="A42" s="9" t="s">
        <v>101</v>
      </c>
      <c r="B42" s="10">
        <v>1.06</v>
      </c>
      <c r="C42" s="10">
        <v>1.19</v>
      </c>
      <c r="D42" s="10">
        <f>1.84/2</f>
        <v>0.92</v>
      </c>
      <c r="E42" s="10">
        <f>1.81/2</f>
        <v>0.90500000000000003</v>
      </c>
      <c r="F42" s="10">
        <v>1.54</v>
      </c>
      <c r="G42" s="10">
        <v>1.31</v>
      </c>
      <c r="H42" s="11">
        <f t="shared" si="0"/>
        <v>6.9</v>
      </c>
    </row>
    <row r="43" spans="1:8" x14ac:dyDescent="0.3">
      <c r="A43" s="1" t="s">
        <v>102</v>
      </c>
      <c r="B43" s="12">
        <v>1.38</v>
      </c>
      <c r="C43" s="12">
        <v>1.5</v>
      </c>
      <c r="D43" s="12">
        <f>1.66/2</f>
        <v>0.83</v>
      </c>
      <c r="E43" s="12">
        <f>1.67/2</f>
        <v>0.83499999999999996</v>
      </c>
      <c r="F43" s="12">
        <v>1.61</v>
      </c>
      <c r="G43" s="12">
        <v>1.45</v>
      </c>
      <c r="H43" s="8">
        <f t="shared" si="0"/>
        <v>7.6</v>
      </c>
    </row>
    <row r="44" spans="1:8" x14ac:dyDescent="0.3">
      <c r="A44" s="3"/>
      <c r="B44" s="13"/>
      <c r="C44" s="13"/>
      <c r="D44" s="13"/>
      <c r="E44" s="13"/>
      <c r="F44" s="13"/>
      <c r="G44" s="13"/>
      <c r="H44" s="14"/>
    </row>
    <row r="45" spans="1:8" x14ac:dyDescent="0.3">
      <c r="A45" s="2" t="s">
        <v>103</v>
      </c>
      <c r="B45" s="2"/>
      <c r="C45" s="2"/>
      <c r="D45" s="2"/>
      <c r="E45" s="2"/>
      <c r="F45" s="2"/>
      <c r="G45" s="2"/>
      <c r="H45" s="2"/>
    </row>
  </sheetData>
  <sheetProtection password="8114" sheet="1" objects="1" scenarios="1" selectLockedCells="1" selectUnlockedCells="1"/>
  <mergeCells count="3">
    <mergeCell ref="A1:H1"/>
    <mergeCell ref="A2:H2"/>
    <mergeCell ref="A3:H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workbookViewId="0">
      <selection activeCell="D24" sqref="D24"/>
    </sheetView>
  </sheetViews>
  <sheetFormatPr defaultRowHeight="14.4" x14ac:dyDescent="0.3"/>
  <sheetData>
    <row r="1" spans="1:18" ht="15.45" x14ac:dyDescent="0.35">
      <c r="A1" s="16" t="s">
        <v>110</v>
      </c>
      <c r="B1" s="16"/>
      <c r="C1" s="16"/>
      <c r="D1" s="16"/>
      <c r="E1" s="16"/>
      <c r="F1" s="16"/>
      <c r="G1" s="16"/>
      <c r="H1" s="16"/>
      <c r="I1" s="16"/>
      <c r="J1" s="16"/>
      <c r="K1" s="16"/>
      <c r="L1" s="16"/>
      <c r="N1" s="17">
        <v>23.5</v>
      </c>
      <c r="O1" s="16" t="s">
        <v>111</v>
      </c>
      <c r="P1" s="16"/>
      <c r="Q1" s="16"/>
      <c r="R1" s="16"/>
    </row>
    <row r="2" spans="1:18" ht="15.45" x14ac:dyDescent="0.35">
      <c r="A2" s="17"/>
      <c r="B2" s="16"/>
      <c r="C2" s="16"/>
      <c r="D2" s="16"/>
      <c r="E2" s="16"/>
      <c r="F2" s="16"/>
      <c r="G2" s="16"/>
      <c r="H2" s="16"/>
      <c r="I2" s="16"/>
      <c r="J2" s="16"/>
      <c r="K2" s="16"/>
      <c r="L2" s="16"/>
      <c r="N2" s="17">
        <v>144</v>
      </c>
      <c r="O2" s="16" t="s">
        <v>112</v>
      </c>
      <c r="P2" s="16"/>
      <c r="Q2" s="16"/>
      <c r="R2" s="16"/>
    </row>
    <row r="3" spans="1:18" ht="15.6" x14ac:dyDescent="0.3">
      <c r="A3" s="180" t="s">
        <v>124</v>
      </c>
      <c r="B3" s="180"/>
      <c r="C3" s="180"/>
      <c r="D3" s="180"/>
      <c r="E3" s="180"/>
      <c r="F3" s="180"/>
      <c r="G3" s="180"/>
      <c r="H3" s="180"/>
      <c r="I3" s="180"/>
      <c r="J3" s="180"/>
      <c r="K3" s="180"/>
      <c r="L3" s="180"/>
      <c r="N3" s="17">
        <v>120.5</v>
      </c>
      <c r="O3" s="16" t="s">
        <v>113</v>
      </c>
      <c r="P3" s="16"/>
      <c r="Q3" s="16"/>
      <c r="R3" s="16"/>
    </row>
    <row r="4" spans="1:18" ht="15.6" x14ac:dyDescent="0.3">
      <c r="A4" s="180"/>
      <c r="B4" s="180"/>
      <c r="C4" s="180"/>
      <c r="D4" s="180"/>
      <c r="E4" s="180"/>
      <c r="F4" s="180"/>
      <c r="G4" s="180"/>
      <c r="H4" s="180"/>
      <c r="I4" s="180"/>
      <c r="J4" s="180"/>
      <c r="K4" s="180"/>
      <c r="L4" s="180"/>
      <c r="N4" s="17">
        <v>40.166666666666664</v>
      </c>
      <c r="O4" s="16" t="s">
        <v>114</v>
      </c>
      <c r="P4" s="16"/>
      <c r="Q4" s="16"/>
      <c r="R4" s="16"/>
    </row>
    <row r="5" spans="1:18" ht="15.45" x14ac:dyDescent="0.35">
      <c r="A5" s="16" t="s">
        <v>116</v>
      </c>
      <c r="B5" s="16"/>
      <c r="C5" s="18"/>
      <c r="D5" s="18"/>
      <c r="E5" s="18"/>
      <c r="F5" s="18"/>
      <c r="G5" s="18"/>
      <c r="H5" s="18"/>
      <c r="I5" s="18"/>
      <c r="J5" s="18"/>
      <c r="K5" s="18"/>
      <c r="L5" s="18"/>
      <c r="N5" s="17">
        <v>63.666666666666664</v>
      </c>
      <c r="O5" s="16" t="s">
        <v>115</v>
      </c>
      <c r="P5" s="16"/>
      <c r="Q5" s="16"/>
      <c r="R5" s="16"/>
    </row>
    <row r="6" spans="1:18" ht="15.45" x14ac:dyDescent="0.35">
      <c r="A6" s="16"/>
      <c r="B6" s="16"/>
      <c r="C6" s="18"/>
      <c r="D6" s="18"/>
      <c r="E6" s="18"/>
      <c r="F6" s="18"/>
      <c r="G6" s="18"/>
      <c r="H6" s="18"/>
      <c r="I6" s="18"/>
      <c r="J6" s="18"/>
      <c r="K6" s="18"/>
      <c r="L6" s="18"/>
    </row>
    <row r="7" spans="1:18" ht="15.45" x14ac:dyDescent="0.35">
      <c r="A7" s="19">
        <v>24</v>
      </c>
      <c r="B7" s="16" t="s">
        <v>117</v>
      </c>
      <c r="C7" s="18"/>
      <c r="D7" s="18"/>
      <c r="E7" s="18"/>
      <c r="F7" s="18"/>
      <c r="G7" s="18"/>
      <c r="H7" s="18"/>
      <c r="I7" s="18"/>
      <c r="J7" s="18"/>
      <c r="K7" s="18"/>
      <c r="L7" s="18"/>
    </row>
    <row r="8" spans="1:18" ht="15.45" x14ac:dyDescent="0.35">
      <c r="A8" s="19">
        <v>144</v>
      </c>
      <c r="B8" s="16" t="s">
        <v>118</v>
      </c>
      <c r="C8" s="18"/>
      <c r="D8" s="18"/>
      <c r="E8" s="18"/>
      <c r="F8" s="18"/>
      <c r="G8" s="18"/>
      <c r="H8" s="18"/>
      <c r="I8" s="18"/>
      <c r="J8" s="18"/>
      <c r="K8" s="18"/>
      <c r="L8" s="18"/>
    </row>
    <row r="9" spans="1:18" ht="15.75" customHeight="1" x14ac:dyDescent="0.35">
      <c r="A9" s="19">
        <v>122</v>
      </c>
      <c r="B9" s="16" t="s">
        <v>113</v>
      </c>
      <c r="C9" s="18"/>
      <c r="D9" s="18"/>
      <c r="E9" s="18"/>
      <c r="F9" s="18"/>
      <c r="G9" s="18"/>
      <c r="H9" s="18"/>
      <c r="I9" s="18"/>
      <c r="J9" s="18"/>
      <c r="K9" s="18"/>
      <c r="L9" s="18"/>
      <c r="M9" s="15"/>
    </row>
    <row r="10" spans="1:18" ht="15.75" customHeight="1" x14ac:dyDescent="0.35">
      <c r="A10" s="19">
        <v>40</v>
      </c>
      <c r="B10" s="16" t="s">
        <v>114</v>
      </c>
      <c r="C10" s="18"/>
      <c r="D10" s="18"/>
      <c r="E10" s="18"/>
      <c r="F10" s="18"/>
      <c r="G10" s="18"/>
      <c r="H10" s="18"/>
      <c r="I10" s="18"/>
      <c r="J10" s="18"/>
      <c r="K10" s="18"/>
      <c r="L10" s="18"/>
      <c r="M10" s="15"/>
    </row>
    <row r="11" spans="1:18" ht="15.45" x14ac:dyDescent="0.35">
      <c r="A11" s="19">
        <v>64</v>
      </c>
      <c r="B11" s="16" t="s">
        <v>119</v>
      </c>
      <c r="C11" s="18"/>
      <c r="D11" s="18"/>
      <c r="E11" s="18"/>
      <c r="F11" s="18"/>
      <c r="G11" s="18"/>
      <c r="H11" s="18"/>
      <c r="I11" s="18"/>
      <c r="J11" s="18"/>
      <c r="K11" s="18"/>
      <c r="L11" s="18"/>
      <c r="M11" s="15"/>
    </row>
    <row r="12" spans="1:18" ht="15.45" x14ac:dyDescent="0.35">
      <c r="A12" s="16"/>
      <c r="B12" s="16"/>
      <c r="C12" s="18"/>
      <c r="D12" s="18"/>
      <c r="E12" s="18"/>
      <c r="F12" s="18"/>
      <c r="G12" s="18"/>
      <c r="H12" s="18"/>
      <c r="I12" s="18"/>
      <c r="J12" s="18"/>
      <c r="K12" s="18"/>
      <c r="L12" s="18"/>
      <c r="M12" s="15"/>
    </row>
    <row r="13" spans="1:18" x14ac:dyDescent="0.3">
      <c r="A13" s="180" t="s">
        <v>120</v>
      </c>
      <c r="B13" s="180"/>
      <c r="C13" s="180"/>
      <c r="D13" s="180"/>
      <c r="E13" s="180"/>
      <c r="F13" s="180"/>
      <c r="G13" s="180"/>
      <c r="H13" s="180"/>
      <c r="I13" s="180"/>
      <c r="J13" s="180"/>
      <c r="K13" s="180"/>
      <c r="L13" s="180"/>
      <c r="M13" s="15"/>
    </row>
    <row r="14" spans="1:18" ht="81.75" customHeight="1" x14ac:dyDescent="0.3">
      <c r="A14" s="180"/>
      <c r="B14" s="180"/>
      <c r="C14" s="180"/>
      <c r="D14" s="180"/>
      <c r="E14" s="180"/>
      <c r="F14" s="180"/>
      <c r="G14" s="180"/>
      <c r="H14" s="180"/>
      <c r="I14" s="180"/>
      <c r="J14" s="180"/>
      <c r="K14" s="180"/>
      <c r="L14" s="180"/>
      <c r="M14" s="15"/>
    </row>
    <row r="15" spans="1:18" ht="45" customHeight="1" x14ac:dyDescent="0.3">
      <c r="A15" s="180" t="s">
        <v>121</v>
      </c>
      <c r="B15" s="180"/>
      <c r="C15" s="180"/>
      <c r="D15" s="180"/>
      <c r="E15" s="180"/>
      <c r="F15" s="180"/>
      <c r="G15" s="180"/>
      <c r="H15" s="180"/>
      <c r="I15" s="180"/>
      <c r="J15" s="180"/>
      <c r="K15" s="180"/>
      <c r="L15" s="180"/>
      <c r="M15" s="15"/>
    </row>
    <row r="16" spans="1:18" x14ac:dyDescent="0.3">
      <c r="A16" s="180"/>
      <c r="B16" s="180"/>
      <c r="C16" s="180"/>
      <c r="D16" s="180"/>
      <c r="E16" s="180"/>
      <c r="F16" s="180"/>
      <c r="G16" s="180"/>
      <c r="H16" s="180"/>
      <c r="I16" s="180"/>
      <c r="J16" s="180"/>
      <c r="K16" s="180"/>
      <c r="L16" s="180"/>
      <c r="M16" s="15"/>
    </row>
    <row r="17" spans="1:13" ht="64.5" customHeight="1" x14ac:dyDescent="0.3">
      <c r="A17" s="180" t="s">
        <v>122</v>
      </c>
      <c r="B17" s="180"/>
      <c r="C17" s="180"/>
      <c r="D17" s="180"/>
      <c r="E17" s="180"/>
      <c r="F17" s="180"/>
      <c r="G17" s="180"/>
      <c r="H17" s="180"/>
      <c r="I17" s="180"/>
      <c r="J17" s="180"/>
      <c r="K17" s="180"/>
      <c r="L17" s="180"/>
      <c r="M17" s="15"/>
    </row>
    <row r="18" spans="1:13" x14ac:dyDescent="0.3">
      <c r="A18" s="180"/>
      <c r="B18" s="180"/>
      <c r="C18" s="180"/>
      <c r="D18" s="180"/>
      <c r="E18" s="180"/>
      <c r="F18" s="180"/>
      <c r="G18" s="180"/>
      <c r="H18" s="180"/>
      <c r="I18" s="180"/>
      <c r="J18" s="180"/>
      <c r="K18" s="180"/>
      <c r="L18" s="180"/>
      <c r="M18" s="15"/>
    </row>
    <row r="19" spans="1:13" ht="15.75" customHeight="1" x14ac:dyDescent="0.3">
      <c r="A19" s="180" t="s">
        <v>123</v>
      </c>
      <c r="B19" s="180"/>
      <c r="C19" s="180"/>
      <c r="D19" s="180"/>
      <c r="E19" s="180"/>
      <c r="F19" s="180"/>
      <c r="G19" s="180"/>
      <c r="H19" s="180"/>
      <c r="I19" s="180"/>
      <c r="J19" s="180"/>
      <c r="K19" s="180"/>
      <c r="L19" s="180"/>
      <c r="M19" s="15"/>
    </row>
    <row r="20" spans="1:13" ht="10.5" customHeight="1" x14ac:dyDescent="0.3">
      <c r="A20" s="180"/>
      <c r="B20" s="180"/>
      <c r="C20" s="180"/>
      <c r="D20" s="180"/>
      <c r="E20" s="180"/>
      <c r="F20" s="180"/>
      <c r="G20" s="180"/>
      <c r="H20" s="180"/>
      <c r="I20" s="180"/>
      <c r="J20" s="180"/>
      <c r="K20" s="180"/>
      <c r="L20" s="180"/>
      <c r="M20" s="15"/>
    </row>
    <row r="21" spans="1:13" ht="15.75" customHeight="1" x14ac:dyDescent="0.3">
      <c r="A21" s="180"/>
      <c r="B21" s="180"/>
      <c r="C21" s="180"/>
      <c r="D21" s="180"/>
      <c r="E21" s="180"/>
      <c r="F21" s="180"/>
      <c r="G21" s="180"/>
      <c r="H21" s="180"/>
      <c r="I21" s="180"/>
      <c r="J21" s="180"/>
      <c r="K21" s="180"/>
      <c r="L21" s="180"/>
      <c r="M21" s="15"/>
    </row>
    <row r="22" spans="1:13" ht="39" customHeight="1" x14ac:dyDescent="0.35">
      <c r="A22" s="20"/>
      <c r="B22" s="20"/>
      <c r="C22" s="20"/>
      <c r="D22" s="20"/>
      <c r="E22" s="20"/>
      <c r="F22" s="20"/>
      <c r="G22" s="20"/>
      <c r="H22" s="20"/>
      <c r="I22" s="20"/>
      <c r="J22" s="20"/>
      <c r="K22" s="20"/>
      <c r="L22" s="20"/>
      <c r="M22" s="15"/>
    </row>
    <row r="23" spans="1:13" ht="15.75" customHeight="1" x14ac:dyDescent="0.3">
      <c r="A23" s="15"/>
      <c r="B23" s="15"/>
      <c r="C23" s="15"/>
      <c r="D23" s="15"/>
      <c r="E23" s="15"/>
      <c r="F23" s="15"/>
      <c r="G23" s="15"/>
      <c r="H23" s="15"/>
      <c r="I23" s="15"/>
      <c r="J23" s="15"/>
      <c r="K23" s="15"/>
      <c r="L23" s="15"/>
      <c r="M23" s="15"/>
    </row>
    <row r="24" spans="1:13" ht="60" customHeight="1" x14ac:dyDescent="0.3">
      <c r="A24" s="15"/>
      <c r="B24" s="15"/>
      <c r="C24" s="15"/>
      <c r="D24" s="15"/>
      <c r="E24" s="15"/>
      <c r="F24" s="15"/>
      <c r="G24" s="15"/>
      <c r="H24" s="15"/>
      <c r="I24" s="15"/>
      <c r="J24" s="15"/>
      <c r="K24" s="15"/>
      <c r="L24" s="15"/>
      <c r="M24" s="15"/>
    </row>
    <row r="25" spans="1:13" ht="15.75" customHeight="1" x14ac:dyDescent="0.3">
      <c r="A25" s="15"/>
      <c r="B25" s="15"/>
      <c r="C25" s="15"/>
      <c r="D25" s="15"/>
      <c r="E25" s="15"/>
      <c r="F25" s="15"/>
      <c r="G25" s="15"/>
      <c r="H25" s="15"/>
      <c r="I25" s="15"/>
      <c r="J25" s="15"/>
      <c r="K25" s="15"/>
      <c r="L25" s="15"/>
      <c r="M25" s="15"/>
    </row>
    <row r="26" spans="1:13" ht="0.75" customHeight="1" x14ac:dyDescent="0.3">
      <c r="A26" s="15"/>
      <c r="B26" s="15"/>
      <c r="C26" s="15"/>
      <c r="D26" s="15"/>
      <c r="E26" s="15"/>
      <c r="F26" s="15"/>
      <c r="G26" s="15"/>
      <c r="H26" s="15"/>
      <c r="I26" s="15"/>
      <c r="J26" s="15"/>
      <c r="K26" s="15"/>
      <c r="L26" s="15"/>
      <c r="M26" s="15"/>
    </row>
    <row r="27" spans="1:13" ht="14.55" hidden="1" x14ac:dyDescent="0.35">
      <c r="A27" s="15"/>
      <c r="B27" s="15"/>
      <c r="C27" s="15"/>
      <c r="D27" s="15"/>
      <c r="E27" s="15"/>
      <c r="F27" s="15"/>
      <c r="G27" s="15"/>
      <c r="H27" s="15"/>
      <c r="I27" s="15"/>
      <c r="J27" s="15"/>
      <c r="K27" s="15"/>
      <c r="L27" s="15"/>
      <c r="M27" s="15"/>
    </row>
    <row r="28" spans="1:13" x14ac:dyDescent="0.3">
      <c r="A28" s="15"/>
      <c r="B28" s="15"/>
      <c r="C28" s="15"/>
      <c r="D28" s="15"/>
      <c r="E28" s="15"/>
      <c r="F28" s="15"/>
      <c r="G28" s="15"/>
      <c r="H28" s="15"/>
      <c r="I28" s="15"/>
      <c r="J28" s="15"/>
      <c r="K28" s="15"/>
      <c r="L28" s="15"/>
      <c r="M28" s="15"/>
    </row>
    <row r="29" spans="1:13" x14ac:dyDescent="0.3">
      <c r="A29" s="15"/>
      <c r="B29" s="15"/>
      <c r="C29" s="15"/>
      <c r="D29" s="15"/>
      <c r="E29" s="15"/>
      <c r="F29" s="15"/>
      <c r="G29" s="15"/>
      <c r="H29" s="15"/>
      <c r="I29" s="15"/>
      <c r="J29" s="15"/>
      <c r="K29" s="15"/>
      <c r="L29" s="15"/>
      <c r="M29" s="15"/>
    </row>
    <row r="30" spans="1:13" x14ac:dyDescent="0.3">
      <c r="A30" s="15"/>
      <c r="B30" s="15"/>
      <c r="C30" s="15"/>
      <c r="D30" s="15"/>
      <c r="E30" s="15"/>
      <c r="F30" s="15"/>
      <c r="G30" s="15"/>
      <c r="H30" s="15"/>
      <c r="I30" s="15"/>
      <c r="J30" s="15"/>
      <c r="K30" s="15"/>
      <c r="L30" s="15"/>
      <c r="M30" s="15"/>
    </row>
    <row r="31" spans="1:13" x14ac:dyDescent="0.3">
      <c r="A31" s="15"/>
      <c r="B31" s="15"/>
      <c r="C31" s="15"/>
      <c r="D31" s="15"/>
      <c r="E31" s="15"/>
      <c r="F31" s="15"/>
      <c r="G31" s="15"/>
      <c r="H31" s="15"/>
      <c r="I31" s="15"/>
      <c r="J31" s="15"/>
      <c r="K31" s="15"/>
      <c r="L31" s="15"/>
      <c r="M31" s="15"/>
    </row>
    <row r="32" spans="1:13" x14ac:dyDescent="0.3">
      <c r="A32" s="15"/>
      <c r="B32" s="15"/>
      <c r="C32" s="15"/>
      <c r="D32" s="15"/>
      <c r="E32" s="15"/>
      <c r="F32" s="15"/>
      <c r="G32" s="15"/>
      <c r="H32" s="15"/>
      <c r="I32" s="15"/>
      <c r="J32" s="15"/>
      <c r="K32" s="15"/>
      <c r="L32" s="15"/>
      <c r="M32" s="15"/>
    </row>
    <row r="33" spans="1:13" x14ac:dyDescent="0.3">
      <c r="A33" s="15"/>
      <c r="B33" s="15"/>
      <c r="C33" s="15"/>
      <c r="D33" s="15"/>
      <c r="E33" s="15"/>
      <c r="F33" s="15"/>
      <c r="G33" s="15"/>
      <c r="H33" s="15"/>
      <c r="I33" s="15"/>
      <c r="J33" s="15"/>
      <c r="K33" s="15"/>
      <c r="L33" s="15"/>
      <c r="M33" s="15"/>
    </row>
    <row r="34" spans="1:13" x14ac:dyDescent="0.3">
      <c r="M34" s="15"/>
    </row>
    <row r="35" spans="1:13" x14ac:dyDescent="0.3">
      <c r="M35" s="15"/>
    </row>
    <row r="36" spans="1:13" x14ac:dyDescent="0.3">
      <c r="M36" s="15"/>
    </row>
    <row r="37" spans="1:13" x14ac:dyDescent="0.3">
      <c r="M37" s="15"/>
    </row>
    <row r="38" spans="1:13" x14ac:dyDescent="0.3">
      <c r="M38" s="15"/>
    </row>
    <row r="39" spans="1:13" x14ac:dyDescent="0.3">
      <c r="M39" s="15"/>
    </row>
  </sheetData>
  <sheetProtection password="8114" sheet="1" objects="1" scenarios="1" selectLockedCells="1" selectUnlockedCells="1"/>
  <mergeCells count="5">
    <mergeCell ref="A13:L14"/>
    <mergeCell ref="A15:L16"/>
    <mergeCell ref="A17:L18"/>
    <mergeCell ref="A19:L21"/>
    <mergeCell ref="A3:L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3"/>
  <sheetViews>
    <sheetView topLeftCell="A224" zoomScale="110" zoomScaleNormal="110" workbookViewId="0">
      <selection activeCell="A241" sqref="A241"/>
    </sheetView>
  </sheetViews>
  <sheetFormatPr defaultRowHeight="14.4" x14ac:dyDescent="0.3"/>
  <sheetData>
    <row r="1" spans="1:1" ht="14.55" x14ac:dyDescent="0.35">
      <c r="A1" s="21"/>
    </row>
    <row r="25" spans="1:1" ht="14.55" x14ac:dyDescent="0.35">
      <c r="A25" s="23" t="s">
        <v>125</v>
      </c>
    </row>
    <row r="53" spans="1:1" ht="14.55" x14ac:dyDescent="0.35">
      <c r="A53" s="23" t="s">
        <v>125</v>
      </c>
    </row>
    <row r="95" spans="1:1" ht="14.55" x14ac:dyDescent="0.35">
      <c r="A95" s="23" t="s">
        <v>125</v>
      </c>
    </row>
    <row r="118" spans="1:1" ht="14.55" x14ac:dyDescent="0.35">
      <c r="A118" s="23" t="s">
        <v>125</v>
      </c>
    </row>
    <row r="141" spans="1:1" ht="14.55" x14ac:dyDescent="0.35">
      <c r="A141" s="23" t="s">
        <v>125</v>
      </c>
    </row>
    <row r="162" spans="1:1" ht="14.55" x14ac:dyDescent="0.35">
      <c r="A162" s="23"/>
    </row>
    <row r="163" spans="1:1" ht="14.55" x14ac:dyDescent="0.35">
      <c r="A163" s="23" t="s">
        <v>125</v>
      </c>
    </row>
    <row r="189" spans="1:1" ht="14.55" x14ac:dyDescent="0.35">
      <c r="A189" s="23" t="s">
        <v>125</v>
      </c>
    </row>
    <row r="206" spans="1:1" ht="14.55" x14ac:dyDescent="0.35">
      <c r="A206">
        <v>6</v>
      </c>
    </row>
    <row r="214" spans="1:1" ht="14.55" x14ac:dyDescent="0.35">
      <c r="A214" s="23" t="s">
        <v>125</v>
      </c>
    </row>
    <row r="241" spans="1:1" ht="14.55" x14ac:dyDescent="0.35">
      <c r="A241" s="23" t="s">
        <v>125</v>
      </c>
    </row>
    <row r="264" spans="1:1" x14ac:dyDescent="0.3">
      <c r="A264" s="23"/>
    </row>
    <row r="265" spans="1:1" x14ac:dyDescent="0.3">
      <c r="A265" s="23"/>
    </row>
    <row r="266" spans="1:1" x14ac:dyDescent="0.3">
      <c r="A266" s="23" t="s">
        <v>125</v>
      </c>
    </row>
    <row r="293" spans="1:1" x14ac:dyDescent="0.3">
      <c r="A293" s="23" t="s">
        <v>125</v>
      </c>
    </row>
  </sheetData>
  <hyperlinks>
    <hyperlink ref="A25" location="Worksheet!A1" display="Back"/>
    <hyperlink ref="A53" location="Worksheet!A1" display="Back"/>
    <hyperlink ref="A95" location="Worksheet!A1" display="Back"/>
    <hyperlink ref="A118" location="Worksheet!A1" display="Back"/>
    <hyperlink ref="A189" location="Worksheet!A1" display="Back"/>
    <hyperlink ref="A214" location="Worksheet!A1" display="Back"/>
    <hyperlink ref="A293" location="Worksheet!A1" display="Back"/>
    <hyperlink ref="A266" location="Worksheet!A1" display="Back"/>
    <hyperlink ref="A241" location="Worksheet!A1" display="Back"/>
    <hyperlink ref="A163" location="Worksheet!A1" display="Back"/>
    <hyperlink ref="A141" location="Worksheet!A1" display="Back"/>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workbookViewId="0">
      <selection activeCell="F30" sqref="F30"/>
    </sheetView>
  </sheetViews>
  <sheetFormatPr defaultRowHeight="14.4" x14ac:dyDescent="0.3"/>
  <cols>
    <col min="1" max="1" width="13.21875" customWidth="1"/>
    <col min="2" max="2" width="1.77734375" customWidth="1"/>
    <col min="3" max="3" width="71.5546875" customWidth="1"/>
  </cols>
  <sheetData>
    <row r="1" spans="1:3" x14ac:dyDescent="0.3">
      <c r="A1" s="184" t="s">
        <v>126</v>
      </c>
      <c r="B1" s="185"/>
      <c r="C1" s="186"/>
    </row>
    <row r="2" spans="1:3" x14ac:dyDescent="0.3">
      <c r="A2" s="187"/>
      <c r="B2" s="188"/>
      <c r="C2" s="189"/>
    </row>
    <row r="3" spans="1:3" ht="2.1" customHeight="1" x14ac:dyDescent="0.35">
      <c r="A3" s="181"/>
      <c r="B3" s="182"/>
      <c r="C3" s="183"/>
    </row>
    <row r="4" spans="1:3" ht="15.45" x14ac:dyDescent="0.35">
      <c r="A4" s="190" t="s">
        <v>127</v>
      </c>
      <c r="B4" s="191"/>
      <c r="C4" s="192"/>
    </row>
    <row r="5" spans="1:3" ht="15.45" x14ac:dyDescent="0.35">
      <c r="A5" s="190" t="s">
        <v>128</v>
      </c>
      <c r="B5" s="191"/>
      <c r="C5" s="192"/>
    </row>
    <row r="6" spans="1:3" ht="15.45" x14ac:dyDescent="0.35">
      <c r="A6" s="24" t="s">
        <v>129</v>
      </c>
      <c r="B6" s="25"/>
      <c r="C6" s="26" t="s">
        <v>130</v>
      </c>
    </row>
    <row r="7" spans="1:3" ht="2.1" customHeight="1" x14ac:dyDescent="0.35">
      <c r="A7" s="181"/>
      <c r="B7" s="182"/>
      <c r="C7" s="183"/>
    </row>
    <row r="8" spans="1:3" ht="2.1" customHeight="1" x14ac:dyDescent="0.35">
      <c r="A8" s="181"/>
      <c r="B8" s="182"/>
      <c r="C8" s="183"/>
    </row>
    <row r="9" spans="1:3" ht="15.45" x14ac:dyDescent="0.35">
      <c r="A9" s="88" t="s">
        <v>248</v>
      </c>
      <c r="B9" s="27"/>
      <c r="C9" s="28" t="s">
        <v>131</v>
      </c>
    </row>
    <row r="10" spans="1:3" x14ac:dyDescent="0.3">
      <c r="A10" s="29"/>
      <c r="B10" s="30"/>
      <c r="C10" s="31" t="s">
        <v>132</v>
      </c>
    </row>
    <row r="11" spans="1:3" ht="14.55" x14ac:dyDescent="0.35">
      <c r="A11" s="29"/>
      <c r="B11" s="30"/>
      <c r="C11" s="31" t="s">
        <v>133</v>
      </c>
    </row>
    <row r="12" spans="1:3" ht="14.55" x14ac:dyDescent="0.35">
      <c r="A12" s="29"/>
      <c r="B12" s="30"/>
      <c r="C12" s="31" t="s">
        <v>134</v>
      </c>
    </row>
    <row r="13" spans="1:3" ht="14.55" x14ac:dyDescent="0.35">
      <c r="A13" s="29"/>
      <c r="B13" s="30"/>
      <c r="C13" s="31" t="s">
        <v>135</v>
      </c>
    </row>
    <row r="14" spans="1:3" ht="14.55" x14ac:dyDescent="0.35">
      <c r="A14" s="29"/>
      <c r="B14" s="30"/>
      <c r="C14" s="31" t="s">
        <v>136</v>
      </c>
    </row>
    <row r="15" spans="1:3" ht="2.1" customHeight="1" x14ac:dyDescent="0.35">
      <c r="A15" s="181"/>
      <c r="B15" s="182"/>
      <c r="C15" s="183"/>
    </row>
    <row r="16" spans="1:3" ht="15.45" x14ac:dyDescent="0.35">
      <c r="A16" s="89" t="s">
        <v>249</v>
      </c>
      <c r="B16" s="75"/>
      <c r="C16" s="76" t="s">
        <v>137</v>
      </c>
    </row>
    <row r="17" spans="1:3" ht="14.55" x14ac:dyDescent="0.35">
      <c r="A17" s="77"/>
      <c r="B17" s="78"/>
      <c r="C17" s="79" t="s">
        <v>138</v>
      </c>
    </row>
    <row r="18" spans="1:3" ht="14.55" x14ac:dyDescent="0.35">
      <c r="A18" s="77"/>
      <c r="B18" s="78"/>
      <c r="C18" s="79" t="s">
        <v>139</v>
      </c>
    </row>
    <row r="19" spans="1:3" ht="14.55" x14ac:dyDescent="0.35">
      <c r="A19" s="77"/>
      <c r="B19" s="78"/>
      <c r="C19" s="79" t="s">
        <v>140</v>
      </c>
    </row>
    <row r="20" spans="1:3" ht="14.55" x14ac:dyDescent="0.35">
      <c r="A20" s="77"/>
      <c r="B20" s="78"/>
      <c r="C20" s="79" t="s">
        <v>141</v>
      </c>
    </row>
    <row r="21" spans="1:3" ht="2.1" customHeight="1" x14ac:dyDescent="0.35">
      <c r="A21" s="181"/>
      <c r="B21" s="182"/>
      <c r="C21" s="183"/>
    </row>
    <row r="22" spans="1:3" ht="15.45" x14ac:dyDescent="0.35">
      <c r="A22" s="90" t="s">
        <v>250</v>
      </c>
      <c r="B22" s="80"/>
      <c r="C22" s="81" t="s">
        <v>142</v>
      </c>
    </row>
    <row r="23" spans="1:3" ht="14.55" x14ac:dyDescent="0.35">
      <c r="A23" s="82"/>
      <c r="B23" s="83"/>
      <c r="C23" s="84" t="s">
        <v>143</v>
      </c>
    </row>
    <row r="24" spans="1:3" ht="14.55" x14ac:dyDescent="0.35">
      <c r="A24" s="82"/>
      <c r="B24" s="83"/>
      <c r="C24" s="84" t="s">
        <v>144</v>
      </c>
    </row>
    <row r="25" spans="1:3" ht="15" thickBot="1" x14ac:dyDescent="0.4">
      <c r="A25" s="85"/>
      <c r="B25" s="86"/>
      <c r="C25" s="87" t="s">
        <v>145</v>
      </c>
    </row>
    <row r="26" spans="1:3" ht="14.55" x14ac:dyDescent="0.35">
      <c r="A26" s="91"/>
      <c r="B26" s="92"/>
      <c r="C26" s="93"/>
    </row>
    <row r="27" spans="1:3" ht="14.55" x14ac:dyDescent="0.35">
      <c r="A27" s="94" t="s">
        <v>251</v>
      </c>
      <c r="B27" s="95"/>
      <c r="C27" s="96" t="s">
        <v>252</v>
      </c>
    </row>
    <row r="28" spans="1:3" ht="15" thickBot="1" x14ac:dyDescent="0.4">
      <c r="A28" s="97"/>
      <c r="B28" s="98"/>
      <c r="C28" s="99"/>
    </row>
  </sheetData>
  <sheetProtection password="8114" sheet="1" objects="1" scenarios="1" selectLockedCells="1" selectUnlockedCells="1"/>
  <mergeCells count="8">
    <mergeCell ref="A15:C15"/>
    <mergeCell ref="A21:C21"/>
    <mergeCell ref="A1:C2"/>
    <mergeCell ref="A3:C3"/>
    <mergeCell ref="A4:C4"/>
    <mergeCell ref="A5:C5"/>
    <mergeCell ref="A7:C7"/>
    <mergeCell ref="A8:C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topLeftCell="A19" workbookViewId="0">
      <selection activeCell="I49" sqref="I49"/>
    </sheetView>
  </sheetViews>
  <sheetFormatPr defaultRowHeight="14.4" x14ac:dyDescent="0.3"/>
  <cols>
    <col min="1" max="1" width="21.21875" customWidth="1"/>
    <col min="2" max="5" width="18.44140625" customWidth="1"/>
  </cols>
  <sheetData>
    <row r="1" spans="1:6" ht="17.55" x14ac:dyDescent="0.35">
      <c r="A1" s="193" t="s">
        <v>146</v>
      </c>
      <c r="B1" s="193"/>
      <c r="C1" s="193"/>
      <c r="D1" s="193"/>
      <c r="E1" s="193"/>
      <c r="F1" s="32"/>
    </row>
    <row r="2" spans="1:6" ht="17.55" x14ac:dyDescent="0.35">
      <c r="A2" s="194" t="s">
        <v>147</v>
      </c>
      <c r="B2" s="194"/>
      <c r="C2" s="194"/>
      <c r="D2" s="194"/>
      <c r="E2" s="194"/>
      <c r="F2" s="33"/>
    </row>
    <row r="3" spans="1:6" ht="15.45" x14ac:dyDescent="0.35">
      <c r="A3" s="34"/>
      <c r="B3" s="34"/>
      <c r="C3" s="34"/>
      <c r="D3" s="34"/>
      <c r="E3" s="34"/>
      <c r="F3" s="35"/>
    </row>
    <row r="4" spans="1:6" ht="15.45" x14ac:dyDescent="0.35">
      <c r="A4" s="36" t="s">
        <v>148</v>
      </c>
      <c r="B4" s="36" t="s">
        <v>149</v>
      </c>
      <c r="C4" s="36" t="s">
        <v>150</v>
      </c>
      <c r="D4" s="36" t="s">
        <v>151</v>
      </c>
      <c r="E4" s="36" t="s">
        <v>152</v>
      </c>
    </row>
    <row r="5" spans="1:6" ht="15.45" x14ac:dyDescent="0.35">
      <c r="A5" s="37" t="s">
        <v>153</v>
      </c>
      <c r="B5" s="38">
        <v>1.5</v>
      </c>
      <c r="C5" s="38">
        <v>3</v>
      </c>
      <c r="D5" s="38">
        <v>6</v>
      </c>
      <c r="E5" s="38">
        <v>9</v>
      </c>
    </row>
    <row r="6" spans="1:6" ht="15.45" x14ac:dyDescent="0.35">
      <c r="A6" s="39" t="s">
        <v>154</v>
      </c>
      <c r="B6" s="40" t="s">
        <v>155</v>
      </c>
      <c r="C6" s="41" t="s">
        <v>156</v>
      </c>
      <c r="D6" s="40" t="s">
        <v>157</v>
      </c>
      <c r="E6" s="40" t="s">
        <v>158</v>
      </c>
    </row>
    <row r="7" spans="1:6" ht="18.45" x14ac:dyDescent="0.35">
      <c r="A7" s="42"/>
      <c r="B7" s="43" t="s">
        <v>159</v>
      </c>
      <c r="C7" s="44" t="s">
        <v>160</v>
      </c>
      <c r="D7" s="43" t="s">
        <v>161</v>
      </c>
      <c r="E7" s="43" t="s">
        <v>162</v>
      </c>
      <c r="F7" s="45"/>
    </row>
    <row r="8" spans="1:6" ht="15.45" x14ac:dyDescent="0.35">
      <c r="A8" s="46"/>
      <c r="B8" s="47"/>
      <c r="C8" s="48" t="s">
        <v>163</v>
      </c>
      <c r="D8" s="47" t="s">
        <v>164</v>
      </c>
      <c r="E8" s="47" t="s">
        <v>165</v>
      </c>
    </row>
    <row r="9" spans="1:6" ht="15.45" x14ac:dyDescent="0.35">
      <c r="A9" s="39" t="s">
        <v>166</v>
      </c>
      <c r="B9" s="40" t="s">
        <v>167</v>
      </c>
      <c r="C9" s="41" t="s">
        <v>168</v>
      </c>
      <c r="D9" s="40" t="s">
        <v>169</v>
      </c>
      <c r="E9" s="40" t="s">
        <v>170</v>
      </c>
    </row>
    <row r="10" spans="1:6" ht="15.45" x14ac:dyDescent="0.35">
      <c r="A10" s="42" t="s">
        <v>171</v>
      </c>
      <c r="B10" s="43" t="s">
        <v>172</v>
      </c>
      <c r="C10" s="44" t="s">
        <v>169</v>
      </c>
      <c r="D10" s="43" t="s">
        <v>173</v>
      </c>
      <c r="E10" s="43" t="s">
        <v>174</v>
      </c>
    </row>
    <row r="11" spans="1:6" ht="15.45" x14ac:dyDescent="0.35">
      <c r="A11" s="46"/>
      <c r="B11" s="47" t="s">
        <v>175</v>
      </c>
      <c r="C11" s="48" t="s">
        <v>176</v>
      </c>
      <c r="D11" s="47" t="s">
        <v>177</v>
      </c>
      <c r="E11" s="47" t="s">
        <v>178</v>
      </c>
    </row>
    <row r="12" spans="1:6" ht="15.45" x14ac:dyDescent="0.35">
      <c r="A12" s="42" t="s">
        <v>25</v>
      </c>
      <c r="B12" s="43" t="s">
        <v>179</v>
      </c>
      <c r="C12" s="44" t="s">
        <v>180</v>
      </c>
      <c r="D12" s="43" t="s">
        <v>181</v>
      </c>
      <c r="E12" s="43" t="s">
        <v>182</v>
      </c>
    </row>
    <row r="13" spans="1:6" ht="15.45" x14ac:dyDescent="0.35">
      <c r="A13" s="42"/>
      <c r="B13" s="43" t="s">
        <v>183</v>
      </c>
      <c r="C13" s="44" t="s">
        <v>184</v>
      </c>
      <c r="D13" s="43" t="s">
        <v>185</v>
      </c>
      <c r="E13" s="43" t="s">
        <v>186</v>
      </c>
    </row>
    <row r="14" spans="1:6" ht="15.45" x14ac:dyDescent="0.35">
      <c r="A14" s="42"/>
      <c r="B14" s="43" t="s">
        <v>187</v>
      </c>
      <c r="C14" s="44" t="s">
        <v>188</v>
      </c>
      <c r="D14" s="43" t="s">
        <v>189</v>
      </c>
      <c r="E14" s="43"/>
    </row>
    <row r="15" spans="1:6" ht="15.45" x14ac:dyDescent="0.35">
      <c r="A15" s="49" t="s">
        <v>55</v>
      </c>
      <c r="B15" s="41" t="s">
        <v>190</v>
      </c>
      <c r="C15" s="50" t="s">
        <v>191</v>
      </c>
      <c r="D15" s="50" t="s">
        <v>191</v>
      </c>
      <c r="E15" s="40" t="s">
        <v>192</v>
      </c>
    </row>
    <row r="16" spans="1:6" ht="15.45" x14ac:dyDescent="0.35">
      <c r="A16" s="51" t="s">
        <v>1</v>
      </c>
      <c r="B16" s="44" t="s">
        <v>193</v>
      </c>
      <c r="C16" s="52" t="s">
        <v>194</v>
      </c>
      <c r="D16" s="52" t="s">
        <v>195</v>
      </c>
      <c r="E16" s="43" t="s">
        <v>196</v>
      </c>
    </row>
    <row r="17" spans="1:6" ht="15.45" x14ac:dyDescent="0.35">
      <c r="A17" s="53"/>
      <c r="B17" s="48" t="s">
        <v>197</v>
      </c>
      <c r="C17" s="54" t="s">
        <v>198</v>
      </c>
      <c r="D17" s="54" t="s">
        <v>199</v>
      </c>
      <c r="E17" s="47" t="s">
        <v>200</v>
      </c>
    </row>
    <row r="18" spans="1:6" ht="18.45" x14ac:dyDescent="0.35">
      <c r="A18" s="51" t="s">
        <v>201</v>
      </c>
      <c r="B18" s="43" t="s">
        <v>202</v>
      </c>
      <c r="C18" s="43" t="s">
        <v>203</v>
      </c>
      <c r="D18" s="43" t="s">
        <v>204</v>
      </c>
      <c r="E18" s="43" t="s">
        <v>205</v>
      </c>
    </row>
    <row r="19" spans="1:6" ht="18.45" x14ac:dyDescent="0.35">
      <c r="A19" s="55" t="s">
        <v>206</v>
      </c>
      <c r="B19" s="56" t="s">
        <v>207</v>
      </c>
      <c r="C19" s="56" t="s">
        <v>208</v>
      </c>
      <c r="D19" s="56" t="s">
        <v>209</v>
      </c>
      <c r="E19" s="56" t="s">
        <v>210</v>
      </c>
    </row>
    <row r="20" spans="1:6" ht="15.45" x14ac:dyDescent="0.35">
      <c r="A20" s="55" t="s">
        <v>32</v>
      </c>
      <c r="B20" s="56" t="s">
        <v>211</v>
      </c>
      <c r="C20" s="56" t="s">
        <v>212</v>
      </c>
      <c r="D20" s="56" t="s">
        <v>213</v>
      </c>
      <c r="E20" s="56" t="s">
        <v>214</v>
      </c>
    </row>
    <row r="21" spans="1:6" ht="15.45" x14ac:dyDescent="0.35">
      <c r="A21" s="37" t="s">
        <v>153</v>
      </c>
      <c r="B21" s="38">
        <v>0.5</v>
      </c>
      <c r="C21" s="38">
        <v>1</v>
      </c>
      <c r="D21" s="38">
        <v>2</v>
      </c>
      <c r="E21" s="38">
        <v>3</v>
      </c>
    </row>
    <row r="22" spans="1:6" ht="18.45" x14ac:dyDescent="0.35">
      <c r="A22" s="49" t="s">
        <v>215</v>
      </c>
      <c r="B22" s="40" t="s">
        <v>216</v>
      </c>
      <c r="C22" s="40" t="s">
        <v>217</v>
      </c>
      <c r="D22" s="40" t="s">
        <v>218</v>
      </c>
      <c r="E22" s="40" t="s">
        <v>219</v>
      </c>
    </row>
    <row r="23" spans="1:6" ht="15.45" x14ac:dyDescent="0.35">
      <c r="A23" s="49" t="s">
        <v>220</v>
      </c>
      <c r="B23" s="40" t="s">
        <v>221</v>
      </c>
      <c r="C23" s="40" t="s">
        <v>222</v>
      </c>
      <c r="D23" s="40" t="s">
        <v>223</v>
      </c>
      <c r="E23" s="40" t="s">
        <v>224</v>
      </c>
    </row>
    <row r="24" spans="1:6" ht="15.45" x14ac:dyDescent="0.35">
      <c r="A24" s="42" t="s">
        <v>225</v>
      </c>
      <c r="B24" s="43"/>
      <c r="C24" s="44" t="s">
        <v>226</v>
      </c>
      <c r="D24" s="43" t="s">
        <v>226</v>
      </c>
      <c r="E24" s="43" t="s">
        <v>226</v>
      </c>
    </row>
    <row r="25" spans="1:6" ht="15.45" x14ac:dyDescent="0.35">
      <c r="A25" s="57" t="s">
        <v>227</v>
      </c>
      <c r="B25" s="58"/>
      <c r="C25" s="58"/>
      <c r="D25" s="58"/>
      <c r="E25" s="58"/>
      <c r="F25" s="45"/>
    </row>
    <row r="26" spans="1:6" ht="15.75" customHeight="1" x14ac:dyDescent="0.35">
      <c r="A26" s="59" t="s">
        <v>228</v>
      </c>
      <c r="B26" s="60"/>
      <c r="C26" s="60"/>
      <c r="D26" s="60"/>
      <c r="E26" s="60"/>
      <c r="F26" s="45"/>
    </row>
    <row r="27" spans="1:6" ht="14.1" customHeight="1" x14ac:dyDescent="0.35">
      <c r="A27" s="59"/>
      <c r="B27" s="60"/>
      <c r="C27" s="60"/>
      <c r="D27" s="60"/>
      <c r="E27" s="60"/>
      <c r="F27" s="45"/>
    </row>
    <row r="28" spans="1:6" ht="15.45" x14ac:dyDescent="0.35">
      <c r="A28" s="59" t="s">
        <v>229</v>
      </c>
      <c r="B28" s="59"/>
      <c r="C28" s="59"/>
      <c r="D28" s="59"/>
      <c r="E28" s="59"/>
      <c r="F28" s="45"/>
    </row>
    <row r="29" spans="1:6" ht="15.45" x14ac:dyDescent="0.35">
      <c r="A29" s="59" t="s">
        <v>230</v>
      </c>
      <c r="B29" s="59"/>
      <c r="C29" s="59"/>
      <c r="D29" s="59"/>
      <c r="E29" s="59"/>
      <c r="F29" s="45"/>
    </row>
    <row r="30" spans="1:6" ht="15.45" x14ac:dyDescent="0.35">
      <c r="A30" s="59" t="s">
        <v>231</v>
      </c>
      <c r="B30" s="59"/>
      <c r="C30" s="59"/>
      <c r="D30" s="59"/>
      <c r="E30" s="59"/>
      <c r="F30" s="45"/>
    </row>
    <row r="31" spans="1:6" ht="15.45" x14ac:dyDescent="0.35">
      <c r="A31" s="59" t="s">
        <v>232</v>
      </c>
      <c r="B31" s="59"/>
      <c r="C31" s="59"/>
      <c r="D31" s="59"/>
      <c r="E31" s="59"/>
      <c r="F31" s="45"/>
    </row>
    <row r="32" spans="1:6" ht="14.1" customHeight="1" thickBot="1" x14ac:dyDescent="0.4">
      <c r="A32" s="59"/>
      <c r="B32" s="59"/>
      <c r="C32" s="59"/>
      <c r="D32" s="59"/>
      <c r="E32" s="59"/>
      <c r="F32" s="45"/>
    </row>
    <row r="33" spans="1:5" ht="15.45" x14ac:dyDescent="0.35">
      <c r="A33" s="61"/>
      <c r="B33" s="195" t="s">
        <v>233</v>
      </c>
      <c r="C33" s="196"/>
      <c r="D33" s="195" t="s">
        <v>234</v>
      </c>
      <c r="E33" s="196"/>
    </row>
    <row r="34" spans="1:5" ht="16.05" thickBot="1" x14ac:dyDescent="0.4">
      <c r="A34" s="62" t="s">
        <v>235</v>
      </c>
      <c r="B34" s="63" t="s">
        <v>236</v>
      </c>
      <c r="C34" s="64" t="s">
        <v>237</v>
      </c>
      <c r="D34" s="63" t="s">
        <v>236</v>
      </c>
      <c r="E34" s="64" t="s">
        <v>237</v>
      </c>
    </row>
    <row r="35" spans="1:5" ht="15.45" x14ac:dyDescent="0.35">
      <c r="A35" s="65" t="s">
        <v>238</v>
      </c>
      <c r="B35" s="66">
        <v>50</v>
      </c>
      <c r="C35" s="67">
        <v>100</v>
      </c>
      <c r="D35" s="66">
        <v>0</v>
      </c>
      <c r="E35" s="67">
        <v>10</v>
      </c>
    </row>
    <row r="36" spans="1:5" ht="15.45" x14ac:dyDescent="0.35">
      <c r="A36" s="68" t="s">
        <v>239</v>
      </c>
      <c r="B36" s="69">
        <v>150</v>
      </c>
      <c r="C36" s="70">
        <v>200</v>
      </c>
      <c r="D36" s="69">
        <v>10</v>
      </c>
      <c r="E36" s="70">
        <v>20</v>
      </c>
    </row>
    <row r="37" spans="1:5" ht="15.45" x14ac:dyDescent="0.35">
      <c r="A37" s="68" t="s">
        <v>240</v>
      </c>
      <c r="B37" s="69">
        <v>250</v>
      </c>
      <c r="C37" s="70">
        <v>300</v>
      </c>
      <c r="D37" s="69">
        <v>20</v>
      </c>
      <c r="E37" s="70">
        <v>30</v>
      </c>
    </row>
    <row r="38" spans="1:5" ht="15.45" x14ac:dyDescent="0.35">
      <c r="A38" s="68" t="s">
        <v>241</v>
      </c>
      <c r="B38" s="69">
        <v>350</v>
      </c>
      <c r="C38" s="70">
        <v>400</v>
      </c>
      <c r="D38" s="69">
        <v>30</v>
      </c>
      <c r="E38" s="70">
        <v>40</v>
      </c>
    </row>
    <row r="39" spans="1:5" ht="16.05" thickBot="1" x14ac:dyDescent="0.4">
      <c r="A39" s="71" t="s">
        <v>242</v>
      </c>
      <c r="B39" s="72">
        <v>450</v>
      </c>
      <c r="C39" s="73">
        <v>500</v>
      </c>
      <c r="D39" s="72">
        <v>40</v>
      </c>
      <c r="E39" s="73">
        <v>50</v>
      </c>
    </row>
    <row r="40" spans="1:5" ht="15.45" x14ac:dyDescent="0.35">
      <c r="A40" s="59"/>
      <c r="B40" s="60"/>
      <c r="C40" s="59"/>
      <c r="D40" s="59"/>
      <c r="E40" s="59"/>
    </row>
    <row r="41" spans="1:5" ht="15.45" x14ac:dyDescent="0.35">
      <c r="A41" s="59" t="s">
        <v>243</v>
      </c>
      <c r="B41" s="59"/>
      <c r="C41" s="59"/>
      <c r="D41" s="59"/>
      <c r="E41" s="59"/>
    </row>
    <row r="42" spans="1:5" ht="15.45" x14ac:dyDescent="0.35">
      <c r="A42" s="59" t="s">
        <v>244</v>
      </c>
      <c r="B42" s="59"/>
      <c r="C42" s="59"/>
      <c r="D42" s="59"/>
      <c r="E42" s="59"/>
    </row>
    <row r="43" spans="1:5" ht="15.45" x14ac:dyDescent="0.35">
      <c r="A43" s="59" t="s">
        <v>245</v>
      </c>
      <c r="B43" s="59"/>
      <c r="C43" s="59"/>
      <c r="D43" s="59"/>
      <c r="E43" s="59"/>
    </row>
    <row r="44" spans="1:5" ht="15.45" x14ac:dyDescent="0.35">
      <c r="A44" s="45" t="s">
        <v>246</v>
      </c>
      <c r="B44" s="59"/>
      <c r="C44" s="59"/>
      <c r="D44" s="59"/>
      <c r="E44" s="59"/>
    </row>
    <row r="45" spans="1:5" ht="14.55" x14ac:dyDescent="0.35">
      <c r="A45" s="3" t="s">
        <v>247</v>
      </c>
      <c r="B45" s="3"/>
      <c r="C45" s="3"/>
      <c r="D45" s="3"/>
      <c r="E45" s="3"/>
    </row>
    <row r="46" spans="1:5" ht="14.55" x14ac:dyDescent="0.35">
      <c r="A46" s="74" t="s">
        <v>1</v>
      </c>
      <c r="B46" s="74"/>
      <c r="C46" s="74"/>
      <c r="D46" s="74"/>
      <c r="E46" s="74"/>
    </row>
  </sheetData>
  <sheetProtection password="8114" sheet="1" objects="1" scenarios="1" selectLockedCells="1" selectUnlockedCells="1"/>
  <mergeCells count="4">
    <mergeCell ref="A1:E1"/>
    <mergeCell ref="A2:E2"/>
    <mergeCell ref="B33:C33"/>
    <mergeCell ref="D33:E3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Worksheet</vt:lpstr>
      <vt:lpstr>Winter Precipitation Values</vt:lpstr>
      <vt:lpstr>Scoring</vt:lpstr>
      <vt:lpstr>Pictures</vt:lpstr>
      <vt:lpstr>Interpertations</vt:lpstr>
      <vt:lpstr>Parameters Setbacks</vt:lpstr>
      <vt:lpstr>_</vt:lpstr>
      <vt:lpstr>Worksheet!Print_Area</vt:lpstr>
      <vt:lpstr>Restrict._Layer</vt:lpstr>
    </vt:vector>
  </TitlesOfParts>
  <Company>USDA OCIO-ITS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niels.hansen</dc:creator>
  <cp:lastModifiedBy>niels.hansen</cp:lastModifiedBy>
  <cp:lastPrinted>2013-01-04T19:48:42Z</cp:lastPrinted>
  <dcterms:created xsi:type="dcterms:W3CDTF">2012-01-27T17:01:43Z</dcterms:created>
  <dcterms:modified xsi:type="dcterms:W3CDTF">2013-04-11T20:08:23Z</dcterms:modified>
</cp:coreProperties>
</file>